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PO - SANITÁRIOS" sheetId="3" r:id="rId1"/>
    <sheet name="TOTALIZADORA" sheetId="1" r:id="rId2"/>
    <sheet name="COMP" sheetId="4" r:id="rId3"/>
  </sheets>
  <externalReferences>
    <externalReference r:id="rId4"/>
    <externalReference r:id="rId5"/>
    <externalReference r:id="rId6"/>
    <externalReference r:id="rId7"/>
  </externalReferences>
  <definedNames>
    <definedName name="AAA">[1]Insumos!#REF!</definedName>
    <definedName name="AdesivoPVC">[1]Insumos!#REF!</definedName>
    <definedName name="ArameCozidoN18">[1]Insumos!#REF!</definedName>
    <definedName name="ArameGalvN10">[1]Insumos!#REF!</definedName>
    <definedName name="ArameGalvn14">[1]Insumos!#REF!</definedName>
    <definedName name="_xlnm.Print_Area" localSheetId="2">COMP!$D$4:$J$37</definedName>
    <definedName name="_xlnm.Print_Area" localSheetId="0">'PO - SANITÁRIOS'!$A$1:$J$109</definedName>
    <definedName name="_xlnm.Print_Area" localSheetId="1">TOTALIZADORA!$A$1:$H$29</definedName>
    <definedName name="AreiaRegular">[1]Insumos!#REF!</definedName>
    <definedName name="ArgamassadeCaleAreia">[1]Insumos!#REF!</definedName>
    <definedName name="AsfaltoCAP20">[1]Insumos!#REF!</definedName>
    <definedName name="AsfaltoDiluidoCM30">[1]Insumos!#REF!</definedName>
    <definedName name="AterroImpISC10PostoObra">[1]Insumos!#REF!</definedName>
    <definedName name="AterroImpPostoObra">[1]Insumos!#REF!</definedName>
    <definedName name="BasaltoIrregular">[1]Insumos!#REF!</definedName>
    <definedName name="bdi">'[2]Comparativo Av. Cristóvão'!#REF!</definedName>
    <definedName name="BetoneiracMotoreletrico500LcCarregador">[1]Insumos!#REF!</definedName>
    <definedName name="BlocodeConcretoEsp10CM">[1]Insumos!#REF!</definedName>
    <definedName name="BlocodeConcretoEsp8CM">[1]Insumos!#REF!</definedName>
    <definedName name="Brita1">[1]Insumos!#REF!</definedName>
    <definedName name="Brita2">[1]Insumos!#REF!</definedName>
    <definedName name="Brita3">[1]Insumos!#REF!</definedName>
    <definedName name="BritaGraduadaPostoObra">[1]Insumos!#REF!</definedName>
    <definedName name="CaibroouTirante8x16x540">[1]Insumos!#REF!</definedName>
    <definedName name="CalApagada">[1]Insumos!#REF!</definedName>
    <definedName name="CalcareoBranco">[1]Insumos!#REF!</definedName>
    <definedName name="CALCETEIRO">#REF!</definedName>
    <definedName name="Calha040">[1]Insumos!#REF!</definedName>
    <definedName name="Calha080">[1]Insumos!#REF!</definedName>
    <definedName name="CaminhãoBasculante140HP">[1]Insumos!#REF!</definedName>
    <definedName name="CaminhãoBetoneira">[1]Insumos!#REF!</definedName>
    <definedName name="CaminhãoCaixaGuindaudo140HP">[1]Insumos!#REF!</definedName>
    <definedName name="Carpinteiro">#REF!</definedName>
    <definedName name="CarroDistribAsfalto5000LCompl">[1]Insumos!#REF!</definedName>
    <definedName name="Carropipacompl5000L">[1]Insumos!#REF!</definedName>
    <definedName name="CentrConcreCimenPortland50M3H">[1]Insumos!#REF!</definedName>
    <definedName name="Chapademadeiracompensada12mm">[1]Insumos!#REF!</definedName>
    <definedName name="Cimento">[1]Insumos!#REF!</definedName>
    <definedName name="COMP">[1]Insumos!#REF!</definedName>
    <definedName name="CORDOEIRO">#REF!</definedName>
    <definedName name="D">[1]Insumos!#REF!</definedName>
    <definedName name="dados_re">[3]RE!$B$13:$P$37</definedName>
    <definedName name="Desmoldanteparaforma">[1]Insumos!#REF!</definedName>
    <definedName name="DiabasioPretoCinzaRosa">[1]Insumos!#REF!</definedName>
    <definedName name="Diesel">'[4]Ct Hor Equip 2'!$AA$8</definedName>
    <definedName name="Dimamite">[1]Insumos!#REF!</definedName>
    <definedName name="DistribuidordeAgregRebocavel">[1]Insumos!#REF!</definedName>
    <definedName name="EmulsãoAsfalticaRL2C">[1]Insumos!#REF!</definedName>
    <definedName name="EncarregadoObrasViárias">#REF!</definedName>
    <definedName name="EnergiaElétrica">[1]Insumos!#REF!</definedName>
    <definedName name="EquipComplExtraçãoRocha">[1]Insumos!#REF!</definedName>
    <definedName name="EscoradeEucalipto">[1]Insumos!#REF!</definedName>
    <definedName name="EspoletaEletrica">[1]Insumos!#REF!</definedName>
    <definedName name="EstacPranchMetali">[1]Insumos!#REF!</definedName>
    <definedName name="Excel_BuiltIn_Print_Area_6_1">#REF!</definedName>
    <definedName name="Excel_BuiltIn_Print_Titles_1_1">#REF!</definedName>
    <definedName name="FerconstrCA501.2">[1]Insumos!#REF!</definedName>
    <definedName name="Ferreiro">#REF!</definedName>
    <definedName name="Filler">[1]Insumos!#REF!</definedName>
    <definedName name="Gasolina">'[4]Ct Hor Equip 2'!$AC$9</definedName>
    <definedName name="GradedeDiscoHidraulicoCompl">[1]Insumos!#REF!</definedName>
    <definedName name="GramadeCampoemPlaca">[1]Insumos!#REF!</definedName>
    <definedName name="GrelhaFerroFund30x85">[1]Insumos!#REF!</definedName>
    <definedName name="GrelhaFerroFund47x47">[1]Insumos!#REF!</definedName>
    <definedName name="Guiadepinho">[1]Insumos!#REF!</definedName>
    <definedName name="InstaladorHidraulico">#REF!</definedName>
    <definedName name="k">#REF!</definedName>
    <definedName name="KWH">'[4]Ct Hor Equip 2'!$AC$8</definedName>
    <definedName name="Ladrilho25x25comGranitina">[1]Insumos!#REF!</definedName>
    <definedName name="Ladrilho25x25semGranitina">[1]Insumos!#REF!</definedName>
    <definedName name="Ladrilho30x30comGranitina">[1]Insumos!#REF!</definedName>
    <definedName name="Ladrilho30x30semGranitina">[1]Insumos!#REF!</definedName>
    <definedName name="LajedeGres">[1]Insumos!#REF!</definedName>
    <definedName name="LajotaBasaltoBruta50X50">[1]Insumos!#REF!</definedName>
    <definedName name="LajotaBasaltoSerrada">[1]Insumos!#REF!</definedName>
    <definedName name="LajotaCimento50X50">[1]Insumos!#REF!</definedName>
    <definedName name="LaminaMetOndTipB">[1]Insumos!#REF!</definedName>
    <definedName name="LaminaMetOndtipoB">[1]Insumos!#REF!</definedName>
    <definedName name="LeisSociais">#REF!</definedName>
    <definedName name="LS">#REF!</definedName>
    <definedName name="M">#REF!</definedName>
    <definedName name="MantaGeotextilOP20">[1]Insumos!#REF!</definedName>
    <definedName name="MeioFioPréMoldadodeConcreto">[1]Insumos!#REF!</definedName>
    <definedName name="MoirãodeConcreto">[1]Insumos!#REF!</definedName>
    <definedName name="MoirãodeConcrN12Malha2">[1]Insumos!#REF!</definedName>
    <definedName name="Motoniveladora140HP">[1]Insumos!#REF!</definedName>
    <definedName name="Motorista">#REF!</definedName>
    <definedName name="número">#REF!</definedName>
    <definedName name="OleoBPF">[1]Insumos!#REF!</definedName>
    <definedName name="OleoDiesel">[1]Insumos!#REF!</definedName>
    <definedName name="Operador">#REF!</definedName>
    <definedName name="PaCarregadeiraPneus120HP">[1]Insumos!#REF!</definedName>
    <definedName name="PedradeObra">[1]Insumos!#REF!</definedName>
    <definedName name="PEDRAIRREGULAR">[1]Insumos!#REF!</definedName>
    <definedName name="Pedreiro">#REF!</definedName>
    <definedName name="PlacaMetPadrPMPA">[1]Insumos!#REF!</definedName>
    <definedName name="PlacaPrefeitua4x2m">[1]Insumos!#REF!</definedName>
    <definedName name="PlacaVibr7HP">[1]Insumos!#REF!</definedName>
    <definedName name="PlasticoFilme">[1]Insumos!#REF!</definedName>
    <definedName name="POdePedra">[1]Insumos!#REF!</definedName>
    <definedName name="PosteMetcomAcespFixação">[1]Insumos!#REF!</definedName>
    <definedName name="PranchadeMad5x20x540">[1]Insumos!#REF!</definedName>
    <definedName name="Prego16X24">[1]Insumos!#REF!</definedName>
    <definedName name="prego18x27">[1]Insumos!#REF!</definedName>
    <definedName name="PS">'[4]Ct Hor MDO 4'!$P$8</definedName>
    <definedName name="RemanePostConcCeee">[1]Insumos!#REF!</definedName>
    <definedName name="RemanePostConccomRedeCEEE">[1]Insumos!#REF!</definedName>
    <definedName name="RemanePostdeConccomRedeCEEE">[1]Insumos!#REF!</definedName>
    <definedName name="RemanPosteMadeiraCEEE">[1]Insumos!#REF!</definedName>
    <definedName name="RemaPostConcCeee">[1]Insumos!#REF!</definedName>
    <definedName name="RemaPostConcRedeCeee">[1]Insumos!#REF!</definedName>
    <definedName name="RemaPostMadeiCeee">[1]Insumos!#REF!</definedName>
    <definedName name="RemPostConcCeee">[1]Insumos!#REF!</definedName>
    <definedName name="RemPostConcrCEEEcTransf">[1]Insumos!#REF!</definedName>
    <definedName name="Retroescavadeira77HP">[1]Insumos!#REF!</definedName>
    <definedName name="RololisoVibr13HP">[1]Insumos!#REF!</definedName>
    <definedName name="RoloLisoVibr79HP">[1]Insumos!#REF!</definedName>
    <definedName name="RoloPedeCarneiroVibrAutoProp79HP">[1]Insumos!#REF!</definedName>
    <definedName name="RoloPneusAutoPropelido102HP">[1]Insumos!#REF!</definedName>
    <definedName name="RoloTandenT58HP">[1]Insumos!#REF!</definedName>
    <definedName name="SaibroISC40PostoObra">[1]Insumos!#REF!</definedName>
    <definedName name="Sarrafopinho">[1]Insumos!#REF!</definedName>
    <definedName name="SB">'[4]Ct Hor Equip 2'!$AA$9</definedName>
    <definedName name="Servente">#REF!</definedName>
    <definedName name="SoluçãoLimpadPVC">[1]Insumos!#REF!</definedName>
    <definedName name="SSS">[1]Insumos!#REF!</definedName>
    <definedName name="TampadeFofoPV060cm">[1]Insumos!#REF!</definedName>
    <definedName name="TampadefofoPV080cm">[1]Insumos!#REF!</definedName>
    <definedName name="TelaGalvN12Malha2">[1]Insumos!#REF!</definedName>
    <definedName name="TerraComumVegetal">[1]Insumos!#REF!</definedName>
    <definedName name="TERRAPLENAGEM">#REF!</definedName>
    <definedName name="TijoloMacico">[1]Insumos!#REF!</definedName>
    <definedName name="_xlnm.Print_Titles" localSheetId="0">'PO - SANITÁRIOS'!$7:$10</definedName>
    <definedName name="TOTAL">#REF!</definedName>
    <definedName name="TratordeEstD6140Hp">[1]Insumos!#REF!</definedName>
    <definedName name="TratordeEsteD480HP">[1]Insumos!#REF!</definedName>
    <definedName name="TratordeEsteiraD5C">[1]Insumos!#REF!</definedName>
    <definedName name="TratordeEsteirD480HO">[1]Insumos!#REF!</definedName>
    <definedName name="TratordePneus118HP">[1]Insumos!#REF!</definedName>
    <definedName name="TratordePneus122HP">[1]Insumos!#REF!</definedName>
    <definedName name="Tubo020C2PB">[1]Insumos!#REF!</definedName>
    <definedName name="Tubo030C2PB">[1]Insumos!#REF!</definedName>
    <definedName name="Tubo030CA2MF">[1]Insumos!#REF!</definedName>
    <definedName name="Tubo040C2PB">[1]Insumos!#REF!</definedName>
    <definedName name="Tubo040CA2MF">[1]Insumos!#REF!</definedName>
    <definedName name="Tubo060C2PB">[1]Insumos!#REF!</definedName>
    <definedName name="Tubo080CA2MF">[1]Insumos!#REF!</definedName>
    <definedName name="Tubo100CA2MF">[1]Insumos!#REF!</definedName>
    <definedName name="Tubo120CA2MF">[1]Insumos!#REF!</definedName>
    <definedName name="Tubo150CA2MF">[1]Insumos!#REF!</definedName>
    <definedName name="TuboCeraMani100mm">[1]Insumos!#REF!</definedName>
    <definedName name="TuboCeraMani150mm">[1]Insumos!#REF!</definedName>
    <definedName name="TuboCeramMani100mm">[1]Insumos!#REF!</definedName>
    <definedName name="TuboCerMani200mm">[1]Insumos!#REF!</definedName>
    <definedName name="TuboPVCRigEsg100mm">[1]Insumos!#REF!</definedName>
    <definedName name="TuboPVCRigEsg150mm">[1]Insumos!#REF!</definedName>
    <definedName name="TuboPVCRigEsg200mm">[1]Insumos!#REF!</definedName>
    <definedName name="UsinaAsfalto4060TH">[1]Insumos!#REF!</definedName>
    <definedName name="UsinaSolos60100Th">[1]Insumos!#REF!</definedName>
    <definedName name="Vibroacabadoraspneus67HP">[1]Insumos!#REF!</definedName>
    <definedName name="x">#REF!</definedName>
    <definedName name="Z">[1]Insumos!#REF!</definedName>
  </definedNames>
  <calcPr calcId="1257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1" i="3"/>
  <c r="I72"/>
  <c r="I62"/>
  <c r="B12" i="1"/>
  <c r="A13"/>
  <c r="A14"/>
  <c r="B14"/>
  <c r="A12"/>
  <c r="A15"/>
  <c r="B15"/>
  <c r="A16"/>
  <c r="B16"/>
  <c r="A17"/>
  <c r="B17"/>
  <c r="A18"/>
  <c r="H36" i="3"/>
  <c r="I36" s="1"/>
  <c r="H37"/>
  <c r="G75"/>
  <c r="J35" i="4"/>
  <c r="J33"/>
  <c r="J32"/>
  <c r="J31"/>
  <c r="J30"/>
  <c r="J29"/>
  <c r="J28"/>
  <c r="J27"/>
  <c r="J26"/>
  <c r="J25"/>
  <c r="J22"/>
  <c r="J21"/>
  <c r="J20"/>
  <c r="J19"/>
  <c r="J18"/>
  <c r="J17"/>
  <c r="J16"/>
  <c r="J15"/>
  <c r="J14"/>
  <c r="J24"/>
  <c r="J23"/>
  <c r="J13"/>
  <c r="J12"/>
  <c r="J11"/>
  <c r="J10"/>
  <c r="H105" i="3" l="1"/>
  <c r="I105" s="1"/>
  <c r="F40" l="1"/>
  <c r="F41" s="1"/>
  <c r="F43" s="1"/>
  <c r="H83"/>
  <c r="I83" s="1"/>
  <c r="H86"/>
  <c r="I86" s="1"/>
  <c r="H70"/>
  <c r="I70" s="1"/>
  <c r="H69"/>
  <c r="I69" s="1"/>
  <c r="F61" l="1"/>
  <c r="F60"/>
  <c r="F51" s="1"/>
  <c r="F58"/>
  <c r="F57"/>
  <c r="H51"/>
  <c r="H103"/>
  <c r="I103" s="1"/>
  <c r="H61"/>
  <c r="F59"/>
  <c r="F49"/>
  <c r="F53" s="1"/>
  <c r="F48"/>
  <c r="H49"/>
  <c r="H42"/>
  <c r="I42" s="1"/>
  <c r="F13"/>
  <c r="H95"/>
  <c r="I95" s="1"/>
  <c r="H104"/>
  <c r="I104" s="1"/>
  <c r="H88"/>
  <c r="I88" s="1"/>
  <c r="H94"/>
  <c r="I94" s="1"/>
  <c r="H68"/>
  <c r="I68" s="1"/>
  <c r="F31"/>
  <c r="F30"/>
  <c r="F25"/>
  <c r="F26"/>
  <c r="H26"/>
  <c r="F20"/>
  <c r="H78"/>
  <c r="I78" s="1"/>
  <c r="H77"/>
  <c r="I77" s="1"/>
  <c r="H76"/>
  <c r="I76" s="1"/>
  <c r="H59"/>
  <c r="H53"/>
  <c r="H25"/>
  <c r="H24"/>
  <c r="I24" s="1"/>
  <c r="H23"/>
  <c r="I23" s="1"/>
  <c r="H22"/>
  <c r="I22" s="1"/>
  <c r="H21"/>
  <c r="I21" s="1"/>
  <c r="H14"/>
  <c r="I14" s="1"/>
  <c r="H52"/>
  <c r="H93"/>
  <c r="I93" s="1"/>
  <c r="H85"/>
  <c r="H84"/>
  <c r="H67"/>
  <c r="I67" s="1"/>
  <c r="I51" l="1"/>
  <c r="I61"/>
  <c r="I59"/>
  <c r="I53"/>
  <c r="I49"/>
  <c r="I25"/>
  <c r="I26"/>
  <c r="I52"/>
  <c r="I84"/>
  <c r="I85"/>
  <c r="H102" l="1"/>
  <c r="H101"/>
  <c r="H100"/>
  <c r="H99"/>
  <c r="H92"/>
  <c r="H89"/>
  <c r="H87"/>
  <c r="H80"/>
  <c r="H79"/>
  <c r="H75"/>
  <c r="H66"/>
  <c r="H65"/>
  <c r="H60"/>
  <c r="H58"/>
  <c r="H57"/>
  <c r="H50"/>
  <c r="H48"/>
  <c r="H44"/>
  <c r="H43"/>
  <c r="H41"/>
  <c r="H40"/>
  <c r="H35"/>
  <c r="H31"/>
  <c r="H30"/>
  <c r="H20"/>
  <c r="H19"/>
  <c r="H18"/>
  <c r="H13"/>
  <c r="H12"/>
  <c r="I66" l="1"/>
  <c r="J12" i="1"/>
  <c r="J13"/>
  <c r="J14"/>
  <c r="J15"/>
  <c r="J16"/>
  <c r="J17"/>
  <c r="J18"/>
  <c r="J19"/>
  <c r="J20"/>
  <c r="J21"/>
  <c r="J11"/>
  <c r="I92" i="3"/>
  <c r="I91"/>
  <c r="J23" i="1" l="1"/>
  <c r="I60" i="3"/>
  <c r="B21" i="1" l="1"/>
  <c r="B20"/>
  <c r="B19"/>
  <c r="B18"/>
  <c r="B13"/>
  <c r="B11"/>
  <c r="A19"/>
  <c r="I102" i="3"/>
  <c r="I90" l="1"/>
  <c r="I89"/>
  <c r="I87"/>
  <c r="I96" l="1"/>
  <c r="J83" s="1"/>
  <c r="I80"/>
  <c r="I79"/>
  <c r="J95" l="1"/>
  <c r="J86"/>
  <c r="J88"/>
  <c r="J93"/>
  <c r="J94"/>
  <c r="J85"/>
  <c r="J84"/>
  <c r="J91"/>
  <c r="J92"/>
  <c r="I65"/>
  <c r="J70" l="1"/>
  <c r="J69"/>
  <c r="I101"/>
  <c r="I100"/>
  <c r="I99"/>
  <c r="C20" i="1"/>
  <c r="G20" s="1"/>
  <c r="I75" i="3"/>
  <c r="J68"/>
  <c r="I58"/>
  <c r="I57"/>
  <c r="I106" l="1"/>
  <c r="J78"/>
  <c r="J77"/>
  <c r="J76"/>
  <c r="C19" i="1"/>
  <c r="G19" s="1"/>
  <c r="J66" i="3"/>
  <c r="J67"/>
  <c r="E20" i="1"/>
  <c r="I20" s="1"/>
  <c r="J65" i="3"/>
  <c r="C18" i="1"/>
  <c r="G18" s="1"/>
  <c r="J87" i="3"/>
  <c r="J89"/>
  <c r="J90"/>
  <c r="J79"/>
  <c r="J80"/>
  <c r="H106"/>
  <c r="H96"/>
  <c r="H81"/>
  <c r="H72"/>
  <c r="H62"/>
  <c r="H54"/>
  <c r="H45"/>
  <c r="H32"/>
  <c r="H27"/>
  <c r="I50"/>
  <c r="I48"/>
  <c r="I44"/>
  <c r="I43"/>
  <c r="I41"/>
  <c r="I40"/>
  <c r="I35"/>
  <c r="I31"/>
  <c r="I30"/>
  <c r="I20"/>
  <c r="I19"/>
  <c r="I18"/>
  <c r="J105" l="1"/>
  <c r="I109"/>
  <c r="J61"/>
  <c r="C17" i="1"/>
  <c r="G17" s="1"/>
  <c r="I37" i="3"/>
  <c r="J103"/>
  <c r="I54"/>
  <c r="C16" i="1" s="1"/>
  <c r="I27" i="3"/>
  <c r="J26" s="1"/>
  <c r="C21" i="1"/>
  <c r="G21" s="1"/>
  <c r="J104" i="3"/>
  <c r="E19" i="1"/>
  <c r="I19" s="1"/>
  <c r="J59" i="3"/>
  <c r="J60"/>
  <c r="J58"/>
  <c r="E18" i="1"/>
  <c r="I18" s="1"/>
  <c r="J100" i="3"/>
  <c r="J102"/>
  <c r="I45"/>
  <c r="I32"/>
  <c r="J99"/>
  <c r="J101"/>
  <c r="J75"/>
  <c r="J57"/>
  <c r="C14" i="1" l="1"/>
  <c r="G14" s="1"/>
  <c r="J42" i="3"/>
  <c r="C15" i="1"/>
  <c r="G15" s="1"/>
  <c r="J36" i="3"/>
  <c r="J49"/>
  <c r="J51"/>
  <c r="E21" i="1"/>
  <c r="I21" s="1"/>
  <c r="E17"/>
  <c r="I17" s="1"/>
  <c r="J21" i="3"/>
  <c r="J24"/>
  <c r="J23"/>
  <c r="J25"/>
  <c r="J22"/>
  <c r="J52"/>
  <c r="J53"/>
  <c r="G13" i="1"/>
  <c r="J35" i="3"/>
  <c r="J40"/>
  <c r="J48"/>
  <c r="G16" i="1"/>
  <c r="J50" i="3"/>
  <c r="J43"/>
  <c r="J41"/>
  <c r="J44"/>
  <c r="J30"/>
  <c r="J31"/>
  <c r="A11" i="1"/>
  <c r="E14" l="1"/>
  <c r="I14" s="1"/>
  <c r="E15"/>
  <c r="I15" s="1"/>
  <c r="E13"/>
  <c r="I13" s="1"/>
  <c r="E16"/>
  <c r="I16" s="1"/>
  <c r="H15" i="3" l="1"/>
  <c r="A4" i="1"/>
  <c r="A5"/>
  <c r="A6"/>
  <c r="A3"/>
  <c r="G12" l="1"/>
  <c r="E12" l="1"/>
  <c r="I12" s="1"/>
  <c r="J19" i="3"/>
  <c r="J20" l="1"/>
  <c r="J18"/>
  <c r="I12"/>
  <c r="I13"/>
  <c r="I15" l="1"/>
  <c r="C11" i="1" l="1"/>
  <c r="C23" s="1"/>
  <c r="J37" i="3"/>
  <c r="J12"/>
  <c r="J14"/>
  <c r="J13"/>
  <c r="J32" l="1"/>
  <c r="G11" i="1"/>
  <c r="G23" s="1"/>
  <c r="H23" s="1"/>
  <c r="E11"/>
  <c r="E23" s="1"/>
  <c r="F23" s="1"/>
  <c r="J106" i="3"/>
  <c r="D21" i="1" s="1"/>
  <c r="J72" i="3"/>
  <c r="D18" i="1" s="1"/>
  <c r="J54" i="3"/>
  <c r="D16" i="1" s="1"/>
  <c r="J62" i="3"/>
  <c r="D17" i="1" s="1"/>
  <c r="J45" i="3"/>
  <c r="D15" i="1" s="1"/>
  <c r="D14"/>
  <c r="J96" i="3"/>
  <c r="D20" i="1" s="1"/>
  <c r="J15" i="3"/>
  <c r="D11" i="1" s="1"/>
  <c r="J81" i="3"/>
  <c r="D19" i="1" s="1"/>
  <c r="J27" i="3"/>
  <c r="D23" i="1" l="1"/>
  <c r="J109" i="3"/>
  <c r="I11" i="1"/>
  <c r="E24"/>
  <c r="F24" s="1"/>
  <c r="G24" l="1"/>
  <c r="H24" s="1"/>
</calcChain>
</file>

<file path=xl/sharedStrings.xml><?xml version="1.0" encoding="utf-8"?>
<sst xmlns="http://schemas.openxmlformats.org/spreadsheetml/2006/main" count="399" uniqueCount="211">
  <si>
    <t xml:space="preserve">Descrição dos Serviços </t>
  </si>
  <si>
    <t>Item</t>
  </si>
  <si>
    <t>%</t>
  </si>
  <si>
    <t>VALOR TOTAL</t>
  </si>
  <si>
    <t>Mat./M.Obra</t>
  </si>
  <si>
    <t>30 dias</t>
  </si>
  <si>
    <t>PLANILHA ORÇAMENTÁRIA-MATERIAL e MÃO de OBRA</t>
  </si>
  <si>
    <t xml:space="preserve">Descrição dos Materiais </t>
  </si>
  <si>
    <t>Un.</t>
  </si>
  <si>
    <t>Qtd.</t>
  </si>
  <si>
    <t>A</t>
  </si>
  <si>
    <t>TOTAL DAS MEDIÇÕES</t>
  </si>
  <si>
    <t>1.1</t>
  </si>
  <si>
    <t>2.1</t>
  </si>
  <si>
    <t>2.2</t>
  </si>
  <si>
    <t>2.3</t>
  </si>
  <si>
    <t>SERVIÇOS PRELIMINARES</t>
  </si>
  <si>
    <t>PLANILHA TOTALIZADORA COM CRONOGRAMA FÍSICO-FINACEIRO</t>
  </si>
  <si>
    <t>Valor unitário</t>
  </si>
  <si>
    <t>s /  BDI</t>
  </si>
  <si>
    <t>VALOR TOTAL
 C / BDI</t>
  </si>
  <si>
    <t>Valor Unitário</t>
  </si>
  <si>
    <t>BDI ADOTADO (%):</t>
  </si>
  <si>
    <t xml:space="preserve"> C / BDI </t>
  </si>
  <si>
    <t>VALOR TOTAL DOS SERVIÇOS</t>
  </si>
  <si>
    <t>TOTAL ÍTEM</t>
  </si>
  <si>
    <t>CÓDIGO SINAPI</t>
  </si>
  <si>
    <t>SINAPI</t>
  </si>
  <si>
    <t xml:space="preserve">             VALORES ACUMULADOS</t>
  </si>
  <si>
    <t>FUNDAÇÃO</t>
  </si>
  <si>
    <t>PAVIMENTAÇÃO</t>
  </si>
  <si>
    <t>ALVENARIAS DE VEDAÇÃO</t>
  </si>
  <si>
    <t>REVESTIMENTOS DE PAREDES</t>
  </si>
  <si>
    <t>PINTURAS</t>
  </si>
  <si>
    <t>Pintura a óleo brilhante sobre superficie metálica, incluso uma demão de fundo anticorrosivo</t>
  </si>
  <si>
    <t>COBERTURA</t>
  </si>
  <si>
    <t>ESQUADRIAS</t>
  </si>
  <si>
    <t>LOUÇAS E ACESSÓRIOS SANITÁRIOS</t>
  </si>
  <si>
    <t>M²</t>
  </si>
  <si>
    <t>M³</t>
  </si>
  <si>
    <t>Un</t>
  </si>
  <si>
    <t>INSTALAÇÕES HIDRÁULICAS</t>
  </si>
  <si>
    <t>INSTALAÇÕES ELÉTRICAS</t>
  </si>
  <si>
    <t>3.1</t>
  </si>
  <si>
    <t>3.2</t>
  </si>
  <si>
    <t>4.1</t>
  </si>
  <si>
    <t>5.1</t>
  </si>
  <si>
    <t>5.2</t>
  </si>
  <si>
    <t>5.3</t>
  </si>
  <si>
    <t>5.4</t>
  </si>
  <si>
    <t>6.1</t>
  </si>
  <si>
    <t>6.2</t>
  </si>
  <si>
    <t>7.1</t>
  </si>
  <si>
    <t>7.2</t>
  </si>
  <si>
    <t>8.1</t>
  </si>
  <si>
    <t>9.1</t>
  </si>
  <si>
    <t>11.1</t>
  </si>
  <si>
    <t>12.1</t>
  </si>
  <si>
    <t>12.2</t>
  </si>
  <si>
    <t>12.4</t>
  </si>
  <si>
    <t>Emboço para as paredes internas e externas</t>
  </si>
  <si>
    <t>m</t>
  </si>
  <si>
    <t>1.2</t>
  </si>
  <si>
    <t>Janela de aço basculante</t>
  </si>
  <si>
    <t>Chapisco sobre paredes internas e externas, traço de 1:3</t>
  </si>
  <si>
    <t>8.2</t>
  </si>
  <si>
    <t>Registro de pressão PVC, soldável, água fria, DN 25 mm</t>
  </si>
  <si>
    <t>Registro de esfera PVC, soldável, água fria, DN 25 mm</t>
  </si>
  <si>
    <t>Lavatório de louça branca suspenso 29,5 x 39,0 cm ou equivalente, inclusive conexões (Fornecimento e Instalação)</t>
  </si>
  <si>
    <t xml:space="preserve">Papeleira de parede em metal cromado (Fornecimento e Instalação)  </t>
  </si>
  <si>
    <t>7.3</t>
  </si>
  <si>
    <t>11.2</t>
  </si>
  <si>
    <t>11.3</t>
  </si>
  <si>
    <t>11.4</t>
  </si>
  <si>
    <t>11.5</t>
  </si>
  <si>
    <t>11.6</t>
  </si>
  <si>
    <t>11.7</t>
  </si>
  <si>
    <t>60 dias</t>
  </si>
  <si>
    <t>Alvenaria de vedação</t>
  </si>
  <si>
    <t>Estrutura de madeira para o telhado</t>
  </si>
  <si>
    <t>8.3</t>
  </si>
  <si>
    <t>9.2</t>
  </si>
  <si>
    <t>9.3</t>
  </si>
  <si>
    <t>Piso em cerâmica esmaltada antiderrapante</t>
  </si>
  <si>
    <t>Revestimento das paredes em cerâmica esmaltada</t>
  </si>
  <si>
    <t>Instalações de tubos PVC, soldável, água fria, DN 25 mm, inclusive conexões, cortes e fixações</t>
  </si>
  <si>
    <t xml:space="preserve">Contrapiso da área interna, em concreto, espessura = 5 cm </t>
  </si>
  <si>
    <t>6.3</t>
  </si>
  <si>
    <t>8.4</t>
  </si>
  <si>
    <t>11.8</t>
  </si>
  <si>
    <t>11.9</t>
  </si>
  <si>
    <t>11.10</t>
  </si>
  <si>
    <t xml:space="preserve">Concretagem das vigas baldrames </t>
  </si>
  <si>
    <t xml:space="preserve">SINAPI </t>
  </si>
  <si>
    <t>2.4</t>
  </si>
  <si>
    <t>2.5</t>
  </si>
  <si>
    <t>Armadura das vigas de fundação de estrutura convencional de concreto armado de 5.0mm</t>
  </si>
  <si>
    <t>2.6</t>
  </si>
  <si>
    <t>2.7</t>
  </si>
  <si>
    <t>2.8</t>
  </si>
  <si>
    <t>Armadura das vigas de fundação de estrutura convencional de concreto armado de 10.0mm</t>
  </si>
  <si>
    <t>Armadura das vigas de fundação de estrutura convencional de concreto armado de 12.50mm</t>
  </si>
  <si>
    <t>kg</t>
  </si>
  <si>
    <t>7.4</t>
  </si>
  <si>
    <t>Joelho de 90 graus, PVC, soldável, DN 25 mm</t>
  </si>
  <si>
    <t>Tê, PVC, soldável, DN 25 mm</t>
  </si>
  <si>
    <t>Adaptador com flange e anel de vedação, PVC, soldável, 25 mm x 3/4"</t>
  </si>
  <si>
    <t>9.4</t>
  </si>
  <si>
    <t>9.5</t>
  </si>
  <si>
    <t>9.6</t>
  </si>
  <si>
    <t>Torneira cromada, padrão popular - fornecimento e instalação.</t>
  </si>
  <si>
    <t>1.3</t>
  </si>
  <si>
    <t>Impermeabilização das vigas baldrames com cimento e areia c/aditivo impermeabilizante</t>
  </si>
  <si>
    <t>Placa de obra em chapa de aço galvanizado, medidas 2,40x1,20m</t>
  </si>
  <si>
    <t>Regularização do fundo das valas c/ largura menor que 1,5m</t>
  </si>
  <si>
    <t>6.4</t>
  </si>
  <si>
    <t>Cumeeira em perfil ondulado de telha  de fibrocimento, espessura 6 mm</t>
  </si>
  <si>
    <t>Quadro de distribuição de energia de embutir p/ 3 disjuntor, fornecimento e instalação</t>
  </si>
  <si>
    <t>12.3</t>
  </si>
  <si>
    <t>Escavação solo para fundação</t>
  </si>
  <si>
    <t xml:space="preserve">Alvenaria de fundação em pedra, espessura = 20 cm </t>
  </si>
  <si>
    <t>2.9</t>
  </si>
  <si>
    <t>Montagem e desmontagem de forma de pilares retangulares (reutilização 2 vezes)</t>
  </si>
  <si>
    <t>Reboco das paredes internas e externas</t>
  </si>
  <si>
    <t>Cobertura com telha ondulada de fibrocimento, espessura 6 mm, com inclinação de 30º</t>
  </si>
  <si>
    <t>Vidro espessura 4mm, para janela basculante</t>
  </si>
  <si>
    <t xml:space="preserve">Luminária tipo calha, de sobrepor, c/ 2 lâmpadas tubulares de 36w - forn. e inst. </t>
  </si>
  <si>
    <t>Aplicação manual de fundo selador acrílico em paredes externa.</t>
  </si>
  <si>
    <t>Porta de madeira p/ pintura,semi-oca , 60X210cm</t>
  </si>
  <si>
    <t>Porta de madeira p/ pintura,semi-oca , 90X210cm</t>
  </si>
  <si>
    <t>Interruptor simples (1 módulo), 10A/250V, incluindo suporte e placa, forn. e instalação.</t>
  </si>
  <si>
    <t>Interruptor simples (3 módulo), 10A/250V, incluindo suporte e placa, forn. e instalação.</t>
  </si>
  <si>
    <t>Cabo de cobre flexível isolado, 2,5 mm², anti-chama 450/750 p/ circuitos terminais - forn.e  instalação.</t>
  </si>
  <si>
    <t>Cabo de cobre flexível isolado, 1,5 mm², anti-chama 450/750 p/ circuitos terminais - forn.e  instalação.</t>
  </si>
  <si>
    <t>Disjuntor monopolar tipo DIN,corrente nominal de 25A - forn. E instalação.</t>
  </si>
  <si>
    <t>Eletrodutio flexível  corrugado, PVC, DN 25 mm (3/4"), p/ circuitos terminais inst. em forro - forn. e instalação.</t>
  </si>
  <si>
    <t>12.5</t>
  </si>
  <si>
    <t>Extintor de incêncio portátil c/ carga de  PQS de 12 KG, CLASSE BC - F</t>
  </si>
  <si>
    <t xml:space="preserve">Luminária de Emergência c/30 lâmpadas Led de 2W, s/reator,  forn. e inst. </t>
  </si>
  <si>
    <t>OBRA: REFORMA ESCOLA MUNICIPAL ENSINO FUNDAMENTAL NOSSA SRA.DAS  GRAÇAS</t>
  </si>
  <si>
    <t>LOCALIZAÇÃO: RUA HELMO NONNEMACHER,Nº1115,  CAPELA DE SANTANA - RS</t>
  </si>
  <si>
    <t>ÁREA:134,30 m²</t>
  </si>
  <si>
    <t>Tapume com compensado de madeirs</t>
  </si>
  <si>
    <t xml:space="preserve">Limpeza de superficiae c/ jato </t>
  </si>
  <si>
    <t>Emboço p/ recebimento de cerâmicas, em argamassa  TRAÇO 1:2:8.</t>
  </si>
  <si>
    <t>5.5</t>
  </si>
  <si>
    <t>Pintura das paredes com tinta acrílica, duas demãos interna</t>
  </si>
  <si>
    <t>6.5</t>
  </si>
  <si>
    <t>Pintura das paredes com tinta acrílica, duas demãos externa</t>
  </si>
  <si>
    <t>Forro de madeira em pinus</t>
  </si>
  <si>
    <t xml:space="preserve">Vaso sanitário sifonado convencional, louça branca, fornecimento e instalação </t>
  </si>
  <si>
    <t xml:space="preserve">Assento sanitário convencional -(Fornecimento e Instalação)  </t>
  </si>
  <si>
    <t>Pintura tinta de acabamento ( pigmentada ) esmalte sitético fosco em madeira duas de mãos.(forro)</t>
  </si>
  <si>
    <t>6.6</t>
  </si>
  <si>
    <t>Pintura tinta de acabaqmento a óleo em madeira, 2 demãos (portas)</t>
  </si>
  <si>
    <t>Acabamentos p/ forro  (Roda-forro em madeira Pinus)</t>
  </si>
  <si>
    <t>Fechadura de embutir c/ cilindro , externa completa, acabamento padrão popular, incluso de furo - forn.  e instalação.</t>
  </si>
  <si>
    <t>8.5</t>
  </si>
  <si>
    <t>8.6</t>
  </si>
  <si>
    <t>Fechadura de embutir c/ cilindro ,p/ banheiro completa, acabamento padrão popular, incluso de furo - forn.  e instalação.</t>
  </si>
  <si>
    <t>Interruptor simples (2 módulo), 10A/250V, incluindo suporte e placa, forn. e instalação.</t>
  </si>
  <si>
    <t>11.13</t>
  </si>
  <si>
    <t xml:space="preserve">Tomada baixa de embutir (1 módulo), 2P+T 20 A, incluindo suporte e placa. </t>
  </si>
  <si>
    <t xml:space="preserve">Tomada alta de embutir (1 módulo), 2P+T 20 A, incluindo suporte e placa. </t>
  </si>
  <si>
    <t>Eletroduto rígico roscável, PVC, DN 25 mm (3/4"),p/ circuitos terminais, inst. em parade/piso -forn. e instalação.</t>
  </si>
  <si>
    <t>SINAPI:  DATA BASE : out/2023</t>
  </si>
  <si>
    <t>Lavatorio Louça branca suspenso, 29,5 X 39CM ,incl.sifão em  PVC, válvula e engatew flexível</t>
  </si>
  <si>
    <t>COMPOSIÇÃO</t>
  </si>
  <si>
    <t xml:space="preserve">   PREFEITURA MUNICIPAL DE CAPELA DE SANTANA/RS</t>
  </si>
  <si>
    <t xml:space="preserve">OBJETO: </t>
  </si>
  <si>
    <t>CLASSE/TIPO</t>
  </si>
  <si>
    <t>CÓDIGOS</t>
  </si>
  <si>
    <t>DESCRIÇÃO</t>
  </si>
  <si>
    <t>UNIDADE</t>
  </si>
  <si>
    <t>COEF.</t>
  </si>
  <si>
    <t>PREÇO UNIT.</t>
  </si>
  <si>
    <t>PREÇO TOTAL</t>
  </si>
  <si>
    <t>M</t>
  </si>
  <si>
    <t>COMPOSICAO</t>
  </si>
  <si>
    <t>OBSERVAÇÃO:</t>
  </si>
  <si>
    <t xml:space="preserve"> PROJETO DE EDIFICAÇÃO</t>
  </si>
  <si>
    <t xml:space="preserve">TUBO, PVC, SOLDÁVEL, DN 25MM, INSTALADO EM RAMAL OU SUB-RAMAL DE ÁGUA,DESCRIÇÃO ,FORNECIMENTO E INSTALAÇÃO. </t>
  </si>
  <si>
    <t>JOELHO 90 GRAUS, PVC, SOLDÁVEL, DN 25MM, INSTALADO EM RAMAL OU SUB-RAMAL  E ÁGUA - FORNECIMENTO E INSTALAÇÃO</t>
  </si>
  <si>
    <t>JOELHO 90 GRAUS COM BUCHA DE LATÃO, PVC, SOLDÁVEL, DN 25MM, X 3/4 INSTALADO EM RAMAL OU SUB-RAMAL DE ÁGUA - FORNECIMENTO E INSTALAÇÃO.</t>
  </si>
  <si>
    <t>LUVA, PVC, SOLDÁVEL, DN 25MM, INSTALADO EM RAMAL OU SUB-RAMAL DE ÁGUA - FORNECIMENTO E INSTALAÇÃO.</t>
  </si>
  <si>
    <t>ADAPTADOR CURTO COM BOLSA E ROSCA PARA REGISTRO, PVC, SOLDÁVEL, DN 25MM X3/4 , INSTALADO EM RAMAL OU SUB-RAMAL DE ÁGUA - FORNECIMENTO E INSTALAÇÃO</t>
  </si>
  <si>
    <t>TE, PVC, SOLDÁVEL, DN 25MM, INSTALADO EM RAMAL OU SUB-RAMAL DE ÁGUA - FORNECIMENTO E INSTALAÇÃO.</t>
  </si>
  <si>
    <t xml:space="preserve">TÊ COM BUCHA DE LATÃO NA BOLSA CENTRAL, PVC, SOLDÁVEL, DN 25MM X 1/2  INSTALADO EM RAMAL OU SUB-RAMAL DE ÁGUA - FORNECIMENTO E INSTALAÇÃO. </t>
  </si>
  <si>
    <t>TÊ DE REDUÇÃO, PVC, SOLDÁVEL, DN 32MM X 25MM, INSTALADO EM RAMAL OU SUB-RAMAL DE ÁGUA - FORNECIMENTO E INSTALAÇÃO.</t>
  </si>
  <si>
    <t>TUBO, PVC, SOLDÁVEL, DN 25MM, INSTALADO EM RAMAL DE DISTRIBUIÇÃO DE ÁGUA FORNECIMENTO E INSTALAÇÃO.</t>
  </si>
  <si>
    <t>JOELHO 90 GRAUS, PVC, SOLDÁVEL, DN 25MM, INSTALADO EM RAMAL DE DISTRIBUIÇÃO DE ÁGUA - FORNECIMENTO E INSTALAÇÃO.</t>
  </si>
  <si>
    <t>LUVA, PVC, SOLDÁVEL, DN 25MM, INSTALADO EM RAMAL DE DISTRIBUIÇÃO DE ÁGUA ORNECIMENTO E INSTALAÇÃO.</t>
  </si>
  <si>
    <t>TE, PVC, SOLDÁVEL, DN 25MM, INSTALADO EM RAMAL DE DISTRIBUIÇÃO DE ÁGUA FORNECIMENTO E INSTALAÇÃO.</t>
  </si>
  <si>
    <t>TÊ DE REDUÇÃO, PVC, SOLDÁVEL, DN 32MM X 25MM, INSTALADO EM RAMAL DE DISTRIBUIÇÃO DE ÁGUA - FORNECIMENTO E INSTALAÇÃO.</t>
  </si>
  <si>
    <t>TUBO, PVC, SOLDÁVEL, DN 25MM, INSTALADO EM PRUMADA DE ÁGUA - FORNECIMENTO E INSTALAÇÃO.</t>
  </si>
  <si>
    <t>JOELHO 90 GRAUS, PVC, SOLDÁVEL, DN 25MM, INSTALADO EM PRUMADA DE ÁGUA - FORNECIMENTO E INSTALAÇÃO.</t>
  </si>
  <si>
    <t>LUVA, PVC, SOLDÁVEL, DN 25MM, INSTALADO EM PRUMADA DE ÁGUA - FORNECIMENTO E INSTALAÇÃO.</t>
  </si>
  <si>
    <t>LUVA DE REDUÇÃO, PVC, SOLDÁVEL, DN 32MM X 25MM, INSTALADO EM PRUMADA DE ÁGUA - FORNECIMENTO E INSTALAÇÃO.</t>
  </si>
  <si>
    <t>TÊ DE REDUÇÃO, PVC, SOLDÁVEL, DN 32MM X 25MM, INSTALADO EM PRUMADA DE ÁGUA - FORNECIMENTO E INSTALAÇÃO.</t>
  </si>
  <si>
    <t>TÊ DE REDUÇÃO, PVC, SOLDÁVEL, DN 50MM X 25MM, INSTALADO EM PRUMADA DE ÁGUA - FORNECIMENTO E INSTALAÇÃO.</t>
  </si>
  <si>
    <t>FURO EM ALVENARIA PARA DIÂMETROS MENORES OU IGUAIS A 40 MM.</t>
  </si>
  <si>
    <t>RASGO EM ALVENARIA PARA RAMAIS/ DISTRIBUIÇÃO COM DIAMETROS MENORES OU IGUAIS A 40 MM</t>
  </si>
  <si>
    <t>PASSANTE TIPO TUBO DE DIÂMETRO MENOR OU IGUAL A 40 MM, FIXADO EM LAJE</t>
  </si>
  <si>
    <t xml:space="preserve"> CHUMBAMENTO LINEAR EM ALVENARIA PARA RAMAIS/DISTRIBUIÇÃO COM DIÂMETROS MENORES OU IGUAIS A 40 MM.</t>
  </si>
  <si>
    <t>FIXAÇÃO DE TUBOS HORIZONTAIS DE PVC, CPVC OU COBRE DIÂMETROS MENORES OU IGUAIS A 40 MM COM ABRAÇADEIRA METÁLICA FLEXÍVEL 18 MM</t>
  </si>
  <si>
    <t>HUMBAMENTO PONTUAL EM PASSAGEM DE TUBO COM DIÂMETRO MENOR OU IGUAL A 40 MM</t>
  </si>
  <si>
    <t>1 - UTILIZADO A TABELA SINAPI NÃO DESONERADA -OUTUBRO/2023</t>
  </si>
  <si>
    <t>TOTAL / M</t>
  </si>
  <si>
    <t xml:space="preserve">COMPOSIÇÃO- NSTALAÇÃO DE TUBOS DE PVC, SOLDÁVEL, ÁGUA FRIA, DN 25 MM </t>
  </si>
  <si>
    <t>4.2</t>
  </si>
  <si>
    <t>Demolição de Alvenaria existente</t>
  </si>
</sst>
</file>

<file path=xl/styles.xml><?xml version="1.0" encoding="utf-8"?>
<styleSheet xmlns="http://schemas.openxmlformats.org/spreadsheetml/2006/main">
  <numFmts count="1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_(&quot;R$&quot;* #,##0.00_);_(&quot;R$&quot;* \(#,##0.00\);_(&quot;R$&quot;* &quot;-&quot;??_);_(@_)"/>
    <numFmt numFmtId="167" formatCode="_-* #,##0.000_-;\-* #,##0.000_-;_-* &quot;-&quot;??_-;_-@_-"/>
    <numFmt numFmtId="168" formatCode="#,##0.000"/>
    <numFmt numFmtId="169" formatCode="\$#,##0\ ;\(\$#,##0\)"/>
    <numFmt numFmtId="170" formatCode="_([$€]* #,##0.00_);_([$€]* \(#,##0.00\);_([$€]* &quot;-&quot;??_);_(@_)"/>
    <numFmt numFmtId="171" formatCode="0.00\ &quot;km =&quot;"/>
    <numFmt numFmtId="172" formatCode="0.0000%"/>
    <numFmt numFmtId="173" formatCode="_(* #,##0.00_);_(* \(#,##0.00\);_(* \-??_);_(@_)"/>
    <numFmt numFmtId="174" formatCode="0#&quot;:&quot;"/>
    <numFmt numFmtId="175" formatCode="0.000000%"/>
    <numFmt numFmtId="176" formatCode="0.000000000000%"/>
    <numFmt numFmtId="178" formatCode="0.0%"/>
    <numFmt numFmtId="179" formatCode="&quot;R$&quot;\ #,##0.00"/>
  </numFmts>
  <fonts count="4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0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5"/>
      <color indexed="62"/>
      <name val="Calibri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5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u/>
      <sz val="8"/>
      <color indexed="8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E1F8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rgb="FF92D050"/>
        <bgColor indexed="8"/>
      </patternFill>
    </fill>
  </fills>
  <borders count="57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4">
    <xf numFmtId="0" fontId="0" fillId="0" borderId="0"/>
    <xf numFmtId="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6" fillId="0" borderId="0" applyFont="0" applyFill="0" applyBorder="0" applyAlignment="0" applyProtection="0"/>
    <xf numFmtId="2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44" fontId="6" fillId="0" borderId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2" fillId="0" borderId="0"/>
    <xf numFmtId="0" fontId="27" fillId="0" borderId="0"/>
    <xf numFmtId="0" fontId="6" fillId="0" borderId="0"/>
    <xf numFmtId="171" fontId="6" fillId="0" borderId="0"/>
    <xf numFmtId="172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>
      <alignment vertical="top"/>
    </xf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ill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27" fillId="0" borderId="0" applyFont="0" applyFill="0" applyBorder="0" applyAlignment="0" applyProtection="0"/>
    <xf numFmtId="173" fontId="6" fillId="0" borderId="0" applyFill="0" applyBorder="0" applyAlignment="0" applyProtection="0"/>
    <xf numFmtId="4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4" fillId="0" borderId="1" applyNumberFormat="0" applyFill="0" applyAlignment="0" applyProtection="0"/>
    <xf numFmtId="165" fontId="1" fillId="0" borderId="0" applyFont="0" applyFill="0" applyBorder="0" applyAlignment="0" applyProtection="0"/>
    <xf numFmtId="173" fontId="6" fillId="0" borderId="0" applyFill="0" applyBorder="0" applyAlignment="0" applyProtection="0"/>
    <xf numFmtId="0" fontId="34" fillId="0" borderId="0"/>
  </cellStyleXfs>
  <cellXfs count="21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6" fillId="0" borderId="0" xfId="0" applyFont="1"/>
    <xf numFmtId="4" fontId="5" fillId="2" borderId="0" xfId="0" quotePrefix="1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" fontId="6" fillId="2" borderId="0" xfId="0" applyNumberFormat="1" applyFont="1" applyFill="1"/>
    <xf numFmtId="10" fontId="6" fillId="2" borderId="0" xfId="0" applyNumberFormat="1" applyFont="1" applyFill="1"/>
    <xf numFmtId="0" fontId="5" fillId="2" borderId="0" xfId="0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4" fontId="5" fillId="3" borderId="3" xfId="0" applyNumberFormat="1" applyFont="1" applyFill="1" applyBorder="1" applyAlignment="1">
      <alignment horizontal="center"/>
    </xf>
    <xf numFmtId="10" fontId="4" fillId="2" borderId="4" xfId="50" applyNumberFormat="1" applyFont="1" applyFill="1" applyBorder="1"/>
    <xf numFmtId="10" fontId="4" fillId="4" borderId="5" xfId="0" applyNumberFormat="1" applyFont="1" applyFill="1" applyBorder="1" applyAlignment="1">
      <alignment vertical="center"/>
    </xf>
    <xf numFmtId="9" fontId="4" fillId="2" borderId="4" xfId="50" applyFont="1" applyFill="1" applyBorder="1"/>
    <xf numFmtId="10" fontId="9" fillId="3" borderId="5" xfId="50" applyNumberFormat="1" applyFont="1" applyFill="1" applyBorder="1" applyAlignment="1">
      <alignment vertical="center"/>
    </xf>
    <xf numFmtId="0" fontId="6" fillId="0" borderId="2" xfId="0" applyFont="1" applyBorder="1" applyAlignment="1">
      <alignment horizontal="left"/>
    </xf>
    <xf numFmtId="0" fontId="12" fillId="0" borderId="0" xfId="0" applyFont="1" applyAlignment="1">
      <alignment horizontal="left" indent="5"/>
    </xf>
    <xf numFmtId="4" fontId="9" fillId="3" borderId="6" xfId="0" applyNumberFormat="1" applyFont="1" applyFill="1" applyBorder="1" applyAlignment="1">
      <alignment horizontal="center" vertical="center"/>
    </xf>
    <xf numFmtId="168" fontId="8" fillId="2" borderId="7" xfId="0" applyNumberFormat="1" applyFont="1" applyFill="1" applyBorder="1" applyAlignment="1">
      <alignment horizontal="right"/>
    </xf>
    <xf numFmtId="168" fontId="6" fillId="2" borderId="7" xfId="0" applyNumberFormat="1" applyFont="1" applyFill="1" applyBorder="1"/>
    <xf numFmtId="1" fontId="15" fillId="5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6" fillId="6" borderId="0" xfId="0" applyFont="1" applyFill="1"/>
    <xf numFmtId="166" fontId="7" fillId="5" borderId="7" xfId="9" applyFont="1" applyFill="1" applyBorder="1" applyAlignment="1">
      <alignment horizontal="right" vertical="center"/>
    </xf>
    <xf numFmtId="4" fontId="5" fillId="5" borderId="7" xfId="0" applyNumberFormat="1" applyFont="1" applyFill="1" applyBorder="1" applyAlignment="1">
      <alignment vertical="center"/>
    </xf>
    <xf numFmtId="4" fontId="5" fillId="4" borderId="9" xfId="71" applyNumberFormat="1" applyFont="1" applyFill="1" applyBorder="1" applyAlignment="1">
      <alignment vertical="center"/>
    </xf>
    <xf numFmtId="4" fontId="5" fillId="3" borderId="9" xfId="71" applyNumberFormat="1" applyFont="1" applyFill="1" applyBorder="1" applyAlignment="1">
      <alignment vertical="center"/>
    </xf>
    <xf numFmtId="9" fontId="6" fillId="0" borderId="0" xfId="0" applyNumberFormat="1" applyFont="1"/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7" fontId="6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3" fontId="7" fillId="3" borderId="10" xfId="0" applyNumberFormat="1" applyFont="1" applyFill="1" applyBorder="1" applyAlignment="1">
      <alignment horizontal="center" vertical="center"/>
    </xf>
    <xf numFmtId="10" fontId="7" fillId="3" borderId="10" xfId="0" applyNumberFormat="1" applyFont="1" applyFill="1" applyBorder="1" applyAlignment="1">
      <alignment horizontal="center" vertical="center"/>
    </xf>
    <xf numFmtId="1" fontId="15" fillId="6" borderId="0" xfId="0" applyNumberFormat="1" applyFont="1" applyFill="1" applyAlignment="1">
      <alignment horizontal="left" vertical="center"/>
    </xf>
    <xf numFmtId="166" fontId="5" fillId="6" borderId="0" xfId="9" applyFont="1" applyFill="1" applyAlignment="1">
      <alignment vertical="center"/>
    </xf>
    <xf numFmtId="10" fontId="9" fillId="6" borderId="0" xfId="50" applyNumberFormat="1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74" fontId="25" fillId="7" borderId="11" xfId="0" applyNumberFormat="1" applyFont="1" applyFill="1" applyBorder="1" applyAlignment="1">
      <alignment horizontal="left" vertical="center"/>
    </xf>
    <xf numFmtId="166" fontId="5" fillId="7" borderId="13" xfId="9" applyFont="1" applyFill="1" applyBorder="1" applyAlignment="1">
      <alignment vertical="center"/>
    </xf>
    <xf numFmtId="10" fontId="5" fillId="7" borderId="15" xfId="50" applyNumberFormat="1" applyFont="1" applyFill="1" applyBorder="1" applyAlignment="1">
      <alignment vertical="center"/>
    </xf>
    <xf numFmtId="1" fontId="25" fillId="6" borderId="0" xfId="0" applyNumberFormat="1" applyFont="1" applyFill="1" applyAlignment="1">
      <alignment horizontal="left" vertical="center"/>
    </xf>
    <xf numFmtId="10" fontId="5" fillId="6" borderId="0" xfId="50" applyNumberFormat="1" applyFont="1" applyFill="1" applyAlignment="1">
      <alignment vertical="center"/>
    </xf>
    <xf numFmtId="4" fontId="5" fillId="7" borderId="10" xfId="9" applyNumberFormat="1" applyFont="1" applyFill="1" applyBorder="1" applyAlignment="1">
      <alignment vertical="center"/>
    </xf>
    <xf numFmtId="1" fontId="26" fillId="0" borderId="1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65" fontId="6" fillId="0" borderId="8" xfId="5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right" vertical="center"/>
    </xf>
    <xf numFmtId="10" fontId="6" fillId="0" borderId="17" xfId="50" applyNumberFormat="1" applyFont="1" applyBorder="1" applyAlignment="1">
      <alignment vertical="center"/>
    </xf>
    <xf numFmtId="166" fontId="5" fillId="4" borderId="19" xfId="9" applyFont="1" applyFill="1" applyBorder="1" applyAlignment="1">
      <alignment horizontal="right" vertical="center"/>
    </xf>
    <xf numFmtId="9" fontId="4" fillId="5" borderId="4" xfId="5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9" xfId="0" applyFont="1" applyFill="1" applyBorder="1" applyAlignment="1">
      <alignment horizontal="left" vertical="center"/>
    </xf>
    <xf numFmtId="1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4" fontId="5" fillId="2" borderId="0" xfId="0" quotePrefix="1" applyNumberFormat="1" applyFont="1" applyFill="1" applyAlignment="1">
      <alignment horizontal="left" vertical="center"/>
    </xf>
    <xf numFmtId="13" fontId="5" fillId="2" borderId="0" xfId="0" quotePrefix="1" applyNumberFormat="1" applyFont="1" applyFill="1" applyAlignment="1">
      <alignment horizontal="left" vertical="center"/>
    </xf>
    <xf numFmtId="1" fontId="5" fillId="2" borderId="40" xfId="0" applyNumberFormat="1" applyFont="1" applyFill="1" applyBorder="1" applyAlignment="1">
      <alignment vertical="center"/>
    </xf>
    <xf numFmtId="1" fontId="5" fillId="2" borderId="40" xfId="0" applyNumberFormat="1" applyFont="1" applyFill="1" applyBorder="1" applyAlignment="1">
      <alignment horizontal="left" vertical="center"/>
    </xf>
    <xf numFmtId="0" fontId="5" fillId="2" borderId="39" xfId="0" applyFont="1" applyFill="1" applyBorder="1" applyAlignment="1">
      <alignment vertical="center"/>
    </xf>
    <xf numFmtId="175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9" fontId="4" fillId="4" borderId="5" xfId="50" applyFont="1" applyFill="1" applyBorder="1" applyAlignment="1">
      <alignment horizontal="center" vertical="center"/>
    </xf>
    <xf numFmtId="10" fontId="4" fillId="5" borderId="4" xfId="50" applyNumberFormat="1" applyFont="1" applyFill="1" applyBorder="1" applyAlignment="1">
      <alignment horizontal="center" vertical="center"/>
    </xf>
    <xf numFmtId="0" fontId="29" fillId="0" borderId="8" xfId="0" applyFont="1" applyBorder="1" applyAlignment="1" applyProtection="1">
      <alignment vertical="center" wrapText="1"/>
      <protection hidden="1"/>
    </xf>
    <xf numFmtId="1" fontId="25" fillId="9" borderId="14" xfId="0" applyNumberFormat="1" applyFont="1" applyFill="1" applyBorder="1" applyAlignment="1">
      <alignment horizontal="center" vertical="center"/>
    </xf>
    <xf numFmtId="0" fontId="29" fillId="0" borderId="8" xfId="0" applyFont="1" applyBorder="1" applyAlignment="1" applyProtection="1">
      <alignment horizontal="center" vertical="center" wrapText="1"/>
      <protection hidden="1"/>
    </xf>
    <xf numFmtId="2" fontId="29" fillId="0" borderId="8" xfId="0" applyNumberFormat="1" applyFont="1" applyBorder="1" applyAlignment="1" applyProtection="1">
      <alignment horizontal="right" vertical="center"/>
      <protection hidden="1"/>
    </xf>
    <xf numFmtId="0" fontId="28" fillId="6" borderId="0" xfId="0" applyFont="1" applyFill="1" applyAlignment="1" applyProtection="1">
      <alignment horizontal="right" vertical="center"/>
      <protection hidden="1"/>
    </xf>
    <xf numFmtId="1" fontId="25" fillId="6" borderId="0" xfId="0" applyNumberFormat="1" applyFont="1" applyFill="1" applyAlignment="1">
      <alignment vertical="center"/>
    </xf>
    <xf numFmtId="174" fontId="25" fillId="6" borderId="0" xfId="0" applyNumberFormat="1" applyFont="1" applyFill="1" applyAlignment="1">
      <alignment horizontal="left" vertical="center"/>
    </xf>
    <xf numFmtId="49" fontId="28" fillId="6" borderId="0" xfId="0" applyNumberFormat="1" applyFont="1" applyFill="1" applyAlignment="1" applyProtection="1">
      <alignment horizontal="right" vertical="center"/>
      <protection hidden="1"/>
    </xf>
    <xf numFmtId="175" fontId="1" fillId="0" borderId="0" xfId="0" applyNumberFormat="1" applyFont="1" applyAlignment="1">
      <alignment vertical="center"/>
    </xf>
    <xf numFmtId="175" fontId="1" fillId="0" borderId="8" xfId="0" applyNumberFormat="1" applyFont="1" applyBorder="1" applyAlignment="1">
      <alignment vertical="center"/>
    </xf>
    <xf numFmtId="0" fontId="2" fillId="2" borderId="0" xfId="0" applyFont="1" applyFill="1" applyAlignment="1">
      <alignment horizontal="center"/>
    </xf>
    <xf numFmtId="0" fontId="29" fillId="0" borderId="8" xfId="0" applyFont="1" applyBorder="1" applyAlignment="1" applyProtection="1">
      <alignment vertical="center"/>
      <protection hidden="1"/>
    </xf>
    <xf numFmtId="10" fontId="5" fillId="2" borderId="0" xfId="50" quotePrefix="1" applyNumberFormat="1" applyFont="1" applyFill="1" applyAlignment="1">
      <alignment horizontal="center" vertical="center"/>
    </xf>
    <xf numFmtId="2" fontId="6" fillId="0" borderId="0" xfId="0" applyNumberFormat="1" applyFont="1" applyAlignment="1">
      <alignment vertical="center"/>
    </xf>
    <xf numFmtId="0" fontId="1" fillId="0" borderId="18" xfId="0" applyFont="1" applyBorder="1" applyAlignment="1">
      <alignment vertical="center"/>
    </xf>
    <xf numFmtId="165" fontId="1" fillId="0" borderId="8" xfId="71" applyFont="1" applyBorder="1" applyAlignment="1">
      <alignment vertical="center"/>
    </xf>
    <xf numFmtId="165" fontId="1" fillId="0" borderId="8" xfId="5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10" fontId="1" fillId="0" borderId="17" xfId="5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9" fontId="29" fillId="6" borderId="0" xfId="0" applyNumberFormat="1" applyFont="1" applyFill="1" applyAlignment="1" applyProtection="1">
      <alignment horizontal="center" vertical="center"/>
      <protection hidden="1"/>
    </xf>
    <xf numFmtId="0" fontId="29" fillId="6" borderId="0" xfId="0" applyFont="1" applyFill="1" applyProtection="1">
      <protection hidden="1"/>
    </xf>
    <xf numFmtId="1" fontId="1" fillId="2" borderId="0" xfId="0" applyNumberFormat="1" applyFont="1" applyFill="1" applyAlignment="1">
      <alignment vertical="center"/>
    </xf>
    <xf numFmtId="44" fontId="6" fillId="2" borderId="0" xfId="0" applyNumberFormat="1" applyFont="1" applyFill="1" applyAlignment="1">
      <alignment vertical="center"/>
    </xf>
    <xf numFmtId="178" fontId="5" fillId="7" borderId="12" xfId="0" applyNumberFormat="1" applyFont="1" applyFill="1" applyBorder="1" applyAlignment="1">
      <alignment vertical="center"/>
    </xf>
    <xf numFmtId="1" fontId="26" fillId="0" borderId="44" xfId="0" applyNumberFormat="1" applyFont="1" applyBorder="1" applyAlignment="1">
      <alignment horizontal="center" vertical="center"/>
    </xf>
    <xf numFmtId="0" fontId="29" fillId="0" borderId="45" xfId="0" applyFont="1" applyBorder="1" applyAlignment="1" applyProtection="1">
      <alignment vertical="center" wrapText="1"/>
      <protection hidden="1"/>
    </xf>
    <xf numFmtId="0" fontId="29" fillId="0" borderId="45" xfId="0" applyFont="1" applyBorder="1" applyAlignment="1" applyProtection="1">
      <alignment horizontal="center" vertical="center" wrapText="1"/>
      <protection hidden="1"/>
    </xf>
    <xf numFmtId="2" fontId="29" fillId="0" borderId="45" xfId="0" applyNumberFormat="1" applyFont="1" applyBorder="1" applyAlignment="1" applyProtection="1">
      <alignment horizontal="right" vertical="center"/>
      <protection hidden="1"/>
    </xf>
    <xf numFmtId="3" fontId="1" fillId="0" borderId="8" xfId="0" applyNumberFormat="1" applyFont="1" applyFill="1" applyBorder="1" applyAlignment="1">
      <alignment horizontal="center"/>
    </xf>
    <xf numFmtId="0" fontId="1" fillId="0" borderId="49" xfId="0" applyFont="1" applyBorder="1" applyAlignment="1">
      <alignment horizontal="left"/>
    </xf>
    <xf numFmtId="3" fontId="1" fillId="0" borderId="50" xfId="0" applyNumberFormat="1" applyFont="1" applyFill="1" applyBorder="1" applyAlignment="1">
      <alignment horizontal="center"/>
    </xf>
    <xf numFmtId="2" fontId="29" fillId="0" borderId="50" xfId="0" applyNumberFormat="1" applyFont="1" applyBorder="1" applyAlignment="1" applyProtection="1">
      <alignment horizontal="right" vertical="center"/>
      <protection hidden="1"/>
    </xf>
    <xf numFmtId="165" fontId="1" fillId="0" borderId="50" xfId="71" applyFont="1" applyBorder="1" applyAlignment="1">
      <alignment vertical="center"/>
    </xf>
    <xf numFmtId="0" fontId="1" fillId="6" borderId="8" xfId="0" applyFont="1" applyFill="1" applyBorder="1" applyAlignment="1">
      <alignment horizontal="left"/>
    </xf>
    <xf numFmtId="0" fontId="1" fillId="6" borderId="49" xfId="0" applyFont="1" applyFill="1" applyBorder="1" applyAlignment="1">
      <alignment horizontal="left"/>
    </xf>
    <xf numFmtId="1" fontId="26" fillId="0" borderId="51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vertical="center"/>
    </xf>
    <xf numFmtId="1" fontId="26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6" borderId="48" xfId="0" applyFont="1" applyFill="1" applyBorder="1"/>
    <xf numFmtId="0" fontId="1" fillId="0" borderId="18" xfId="0" applyFont="1" applyBorder="1" applyAlignment="1">
      <alignment horizontal="left"/>
    </xf>
    <xf numFmtId="0" fontId="1" fillId="6" borderId="18" xfId="0" applyFont="1" applyFill="1" applyBorder="1"/>
    <xf numFmtId="0" fontId="29" fillId="0" borderId="8" xfId="0" applyFont="1" applyBorder="1" applyAlignment="1">
      <alignment horizontal="center"/>
    </xf>
    <xf numFmtId="0" fontId="29" fillId="0" borderId="53" xfId="0" applyFont="1" applyBorder="1" applyAlignment="1">
      <alignment horizontal="center"/>
    </xf>
    <xf numFmtId="0" fontId="1" fillId="0" borderId="50" xfId="0" applyFont="1" applyFill="1" applyBorder="1" applyAlignment="1">
      <alignment horizontal="left"/>
    </xf>
    <xf numFmtId="0" fontId="1" fillId="0" borderId="45" xfId="0" applyFont="1" applyBorder="1" applyAlignment="1">
      <alignment vertical="center"/>
    </xf>
    <xf numFmtId="165" fontId="1" fillId="0" borderId="45" xfId="71" applyFont="1" applyBorder="1" applyAlignment="1">
      <alignment vertical="center"/>
    </xf>
    <xf numFmtId="165" fontId="1" fillId="0" borderId="54" xfId="50" applyNumberFormat="1" applyFont="1" applyBorder="1" applyAlignment="1">
      <alignment horizontal="center" vertical="center"/>
    </xf>
    <xf numFmtId="4" fontId="1" fillId="0" borderId="46" xfId="0" applyNumberFormat="1" applyFont="1" applyBorder="1" applyAlignment="1">
      <alignment horizontal="right" vertical="center"/>
    </xf>
    <xf numFmtId="10" fontId="1" fillId="0" borderId="47" xfId="50" applyNumberFormat="1" applyFont="1" applyBorder="1" applyAlignment="1">
      <alignment vertical="center"/>
    </xf>
    <xf numFmtId="0" fontId="29" fillId="0" borderId="46" xfId="0" applyFont="1" applyBorder="1" applyAlignment="1" applyProtection="1">
      <alignment vertical="center" wrapText="1"/>
      <protection hidden="1"/>
    </xf>
    <xf numFmtId="0" fontId="32" fillId="10" borderId="52" xfId="0" applyFont="1" applyFill="1" applyBorder="1"/>
    <xf numFmtId="0" fontId="32" fillId="10" borderId="49" xfId="0" applyFont="1" applyFill="1" applyBorder="1"/>
    <xf numFmtId="0" fontId="9" fillId="11" borderId="8" xfId="73" applyFont="1" applyFill="1" applyBorder="1" applyAlignment="1">
      <alignment horizontal="center" vertical="center" wrapText="1"/>
    </xf>
    <xf numFmtId="2" fontId="9" fillId="11" borderId="8" xfId="73" applyNumberFormat="1" applyFont="1" applyFill="1" applyBorder="1" applyAlignment="1">
      <alignment horizontal="center" vertical="center" wrapText="1"/>
    </xf>
    <xf numFmtId="4" fontId="9" fillId="11" borderId="8" xfId="73" applyNumberFormat="1" applyFont="1" applyFill="1" applyBorder="1" applyAlignment="1">
      <alignment horizontal="center" vertical="center" wrapText="1"/>
    </xf>
    <xf numFmtId="0" fontId="36" fillId="12" borderId="16" xfId="73" applyFont="1" applyFill="1" applyBorder="1" applyAlignment="1">
      <alignment horizontal="center" vertical="center" wrapText="1"/>
    </xf>
    <xf numFmtId="0" fontId="36" fillId="12" borderId="8" xfId="73" applyFont="1" applyFill="1" applyBorder="1" applyAlignment="1">
      <alignment horizontal="center" vertical="center" wrapText="1"/>
    </xf>
    <xf numFmtId="0" fontId="36" fillId="12" borderId="8" xfId="73" applyFont="1" applyFill="1" applyBorder="1" applyAlignment="1">
      <alignment horizontal="left" vertical="center" wrapText="1"/>
    </xf>
    <xf numFmtId="0" fontId="1" fillId="0" borderId="8" xfId="18" applyFont="1" applyBorder="1" applyAlignment="1">
      <alignment horizontal="center" vertical="center"/>
    </xf>
    <xf numFmtId="2" fontId="1" fillId="0" borderId="8" xfId="18" applyNumberFormat="1" applyFont="1" applyBorder="1" applyAlignment="1">
      <alignment horizontal="center" vertical="center"/>
    </xf>
    <xf numFmtId="4" fontId="36" fillId="12" borderId="17" xfId="73" applyNumberFormat="1" applyFont="1" applyFill="1" applyBorder="1" applyAlignment="1">
      <alignment horizontal="center" vertical="center" wrapText="1"/>
    </xf>
    <xf numFmtId="0" fontId="36" fillId="12" borderId="28" xfId="73" applyFont="1" applyFill="1" applyBorder="1" applyAlignment="1">
      <alignment horizontal="center" vertical="center" wrapText="1"/>
    </xf>
    <xf numFmtId="0" fontId="36" fillId="12" borderId="0" xfId="73" applyFont="1" applyFill="1" applyAlignment="1">
      <alignment horizontal="center" vertical="center" wrapText="1"/>
    </xf>
    <xf numFmtId="0" fontId="36" fillId="12" borderId="0" xfId="73" applyFont="1" applyFill="1" applyAlignment="1">
      <alignment horizontal="left" vertical="center" wrapText="1"/>
    </xf>
    <xf numFmtId="4" fontId="36" fillId="12" borderId="0" xfId="73" applyNumberFormat="1" applyFont="1" applyFill="1" applyAlignment="1">
      <alignment horizontal="center" vertical="center" wrapText="1"/>
    </xf>
    <xf numFmtId="179" fontId="37" fillId="13" borderId="29" xfId="73" applyNumberFormat="1" applyFont="1" applyFill="1" applyBorder="1" applyAlignment="1">
      <alignment horizontal="center" vertical="center" wrapText="1"/>
    </xf>
    <xf numFmtId="0" fontId="38" fillId="12" borderId="28" xfId="73" applyFont="1" applyFill="1" applyBorder="1" applyAlignment="1">
      <alignment horizontal="center" vertical="center" wrapText="1"/>
    </xf>
    <xf numFmtId="2" fontId="36" fillId="12" borderId="0" xfId="73" applyNumberFormat="1" applyFont="1" applyFill="1" applyAlignment="1">
      <alignment horizontal="left" vertical="center" wrapText="1"/>
    </xf>
    <xf numFmtId="0" fontId="39" fillId="0" borderId="0" xfId="0" applyFont="1"/>
    <xf numFmtId="4" fontId="39" fillId="0" borderId="29" xfId="0" applyNumberFormat="1" applyFont="1" applyBorder="1"/>
    <xf numFmtId="179" fontId="6" fillId="0" borderId="0" xfId="0" applyNumberFormat="1" applyFont="1"/>
    <xf numFmtId="0" fontId="5" fillId="7" borderId="25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4" fontId="7" fillId="3" borderId="20" xfId="0" applyNumberFormat="1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10" fontId="7" fillId="3" borderId="23" xfId="0" applyNumberFormat="1" applyFont="1" applyFill="1" applyBorder="1" applyAlignment="1">
      <alignment horizontal="center" vertical="center"/>
    </xf>
    <xf numFmtId="10" fontId="7" fillId="3" borderId="17" xfId="0" applyNumberFormat="1" applyFont="1" applyFill="1" applyBorder="1" applyAlignment="1">
      <alignment horizontal="center" vertical="center"/>
    </xf>
    <xf numFmtId="10" fontId="7" fillId="3" borderId="15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3" fontId="7" fillId="3" borderId="20" xfId="0" quotePrefix="1" applyNumberFormat="1" applyFont="1" applyFill="1" applyBorder="1" applyAlignment="1">
      <alignment horizontal="center" vertical="center"/>
    </xf>
    <xf numFmtId="3" fontId="7" fillId="3" borderId="8" xfId="0" quotePrefix="1" applyNumberFormat="1" applyFont="1" applyFill="1" applyBorder="1" applyAlignment="1">
      <alignment horizontal="center" vertical="center"/>
    </xf>
    <xf numFmtId="1" fontId="7" fillId="3" borderId="26" xfId="0" applyNumberFormat="1" applyFont="1" applyFill="1" applyBorder="1" applyAlignment="1">
      <alignment horizontal="center" vertical="center"/>
    </xf>
    <xf numFmtId="1" fontId="7" fillId="3" borderId="27" xfId="0" applyNumberFormat="1" applyFont="1" applyFill="1" applyBorder="1" applyAlignment="1">
      <alignment horizontal="center" vertical="center"/>
    </xf>
    <xf numFmtId="1" fontId="7" fillId="3" borderId="28" xfId="0" applyNumberFormat="1" applyFont="1" applyFill="1" applyBorder="1" applyAlignment="1">
      <alignment horizontal="center" vertical="center"/>
    </xf>
    <xf numFmtId="1" fontId="7" fillId="3" borderId="29" xfId="0" applyNumberFormat="1" applyFont="1" applyFill="1" applyBorder="1" applyAlignment="1">
      <alignment horizontal="center" vertical="center"/>
    </xf>
    <xf numFmtId="1" fontId="7" fillId="3" borderId="30" xfId="0" applyNumberFormat="1" applyFont="1" applyFill="1" applyBorder="1" applyAlignment="1">
      <alignment horizontal="center" vertical="center"/>
    </xf>
    <xf numFmtId="1" fontId="7" fillId="3" borderId="31" xfId="0" applyNumberFormat="1" applyFont="1" applyFill="1" applyBorder="1" applyAlignment="1">
      <alignment horizontal="center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1" fontId="25" fillId="7" borderId="21" xfId="0" applyNumberFormat="1" applyFont="1" applyFill="1" applyBorder="1" applyAlignment="1">
      <alignment horizontal="right" vertical="center"/>
    </xf>
    <xf numFmtId="1" fontId="25" fillId="7" borderId="22" xfId="0" applyNumberFormat="1" applyFont="1" applyFill="1" applyBorder="1" applyAlignment="1">
      <alignment horizontal="right" vertical="center"/>
    </xf>
    <xf numFmtId="0" fontId="28" fillId="9" borderId="41" xfId="0" applyFont="1" applyFill="1" applyBorder="1" applyAlignment="1" applyProtection="1">
      <alignment horizontal="left" vertical="center"/>
      <protection hidden="1"/>
    </xf>
    <xf numFmtId="0" fontId="28" fillId="9" borderId="42" xfId="0" applyFont="1" applyFill="1" applyBorder="1" applyAlignment="1" applyProtection="1">
      <alignment horizontal="left" vertical="center"/>
      <protection hidden="1"/>
    </xf>
    <xf numFmtId="0" fontId="28" fillId="9" borderId="43" xfId="0" applyFont="1" applyFill="1" applyBorder="1" applyAlignment="1" applyProtection="1">
      <alignment horizontal="left" vertical="center"/>
      <protection hidden="1"/>
    </xf>
    <xf numFmtId="4" fontId="5" fillId="2" borderId="0" xfId="0" applyNumberFormat="1" applyFont="1" applyFill="1" applyAlignment="1">
      <alignment horizontal="center" vertical="center"/>
    </xf>
    <xf numFmtId="4" fontId="5" fillId="2" borderId="0" xfId="0" quotePrefix="1" applyNumberFormat="1" applyFont="1" applyFill="1" applyAlignment="1">
      <alignment horizontal="center" vertical="center"/>
    </xf>
    <xf numFmtId="3" fontId="5" fillId="2" borderId="0" xfId="0" quotePrefix="1" applyNumberFormat="1" applyFont="1" applyFill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5" fillId="3" borderId="35" xfId="0" applyFont="1" applyFill="1" applyBorder="1" applyAlignment="1">
      <alignment vertical="center"/>
    </xf>
    <xf numFmtId="0" fontId="5" fillId="3" borderId="34" xfId="0" applyFont="1" applyFill="1" applyBorder="1" applyAlignment="1">
      <alignment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10" fontId="5" fillId="3" borderId="32" xfId="0" applyNumberFormat="1" applyFont="1" applyFill="1" applyBorder="1" applyAlignment="1">
      <alignment horizontal="center" vertical="center"/>
    </xf>
    <xf numFmtId="10" fontId="5" fillId="3" borderId="33" xfId="0" applyNumberFormat="1" applyFont="1" applyFill="1" applyBorder="1" applyAlignment="1">
      <alignment horizontal="center" vertical="center"/>
    </xf>
    <xf numFmtId="0" fontId="31" fillId="10" borderId="52" xfId="0" applyFont="1" applyFill="1" applyBorder="1" applyAlignment="1">
      <alignment horizontal="center" vertical="center" wrapText="1"/>
    </xf>
    <xf numFmtId="0" fontId="31" fillId="10" borderId="45" xfId="0" applyFont="1" applyFill="1" applyBorder="1" applyAlignment="1">
      <alignment horizontal="center" vertical="center" wrapText="1"/>
    </xf>
    <xf numFmtId="0" fontId="31" fillId="10" borderId="54" xfId="0" applyFont="1" applyFill="1" applyBorder="1" applyAlignment="1">
      <alignment horizontal="center" vertical="center" wrapText="1"/>
    </xf>
    <xf numFmtId="0" fontId="31" fillId="10" borderId="49" xfId="0" applyFont="1" applyFill="1" applyBorder="1" applyAlignment="1">
      <alignment horizontal="center" vertical="center" wrapText="1"/>
    </xf>
    <xf numFmtId="0" fontId="31" fillId="10" borderId="55" xfId="0" applyFont="1" applyFill="1" applyBorder="1" applyAlignment="1">
      <alignment horizontal="center" vertical="center" wrapText="1"/>
    </xf>
    <xf numFmtId="0" fontId="31" fillId="10" borderId="56" xfId="0" applyFont="1" applyFill="1" applyBorder="1" applyAlignment="1">
      <alignment horizontal="center" vertical="center" wrapText="1"/>
    </xf>
    <xf numFmtId="0" fontId="33" fillId="10" borderId="45" xfId="0" applyFont="1" applyFill="1" applyBorder="1" applyAlignment="1">
      <alignment horizontal="left" vertical="center" wrapText="1"/>
    </xf>
    <xf numFmtId="0" fontId="33" fillId="10" borderId="54" xfId="0" applyFont="1" applyFill="1" applyBorder="1" applyAlignment="1">
      <alignment horizontal="left" vertical="center" wrapText="1"/>
    </xf>
    <xf numFmtId="0" fontId="33" fillId="10" borderId="55" xfId="0" applyFont="1" applyFill="1" applyBorder="1" applyAlignment="1">
      <alignment horizontal="left" vertical="center" wrapText="1"/>
    </xf>
    <xf numFmtId="0" fontId="33" fillId="10" borderId="56" xfId="0" applyFont="1" applyFill="1" applyBorder="1" applyAlignment="1">
      <alignment horizontal="left" vertical="center" wrapText="1"/>
    </xf>
    <xf numFmtId="0" fontId="35" fillId="11" borderId="28" xfId="73" applyFont="1" applyFill="1" applyBorder="1" applyAlignment="1">
      <alignment horizontal="center" vertical="center" wrapText="1"/>
    </xf>
    <xf numFmtId="0" fontId="35" fillId="11" borderId="0" xfId="73" applyFont="1" applyFill="1" applyAlignment="1">
      <alignment horizontal="center" vertical="center" wrapText="1"/>
    </xf>
    <xf numFmtId="0" fontId="35" fillId="11" borderId="29" xfId="73" applyFont="1" applyFill="1" applyBorder="1" applyAlignment="1">
      <alignment horizontal="center" vertical="center" wrapText="1"/>
    </xf>
    <xf numFmtId="0" fontId="36" fillId="12" borderId="49" xfId="73" applyFont="1" applyFill="1" applyBorder="1" applyAlignment="1">
      <alignment horizontal="left" vertical="center" wrapText="1"/>
    </xf>
    <xf numFmtId="0" fontId="36" fillId="12" borderId="55" xfId="73" applyFont="1" applyFill="1" applyBorder="1" applyAlignment="1">
      <alignment horizontal="left" vertical="center" wrapText="1"/>
    </xf>
    <xf numFmtId="0" fontId="36" fillId="12" borderId="56" xfId="73" applyFont="1" applyFill="1" applyBorder="1" applyAlignment="1">
      <alignment horizontal="left" vertical="center" wrapText="1"/>
    </xf>
    <xf numFmtId="0" fontId="40" fillId="12" borderId="45" xfId="73" applyFont="1" applyFill="1" applyBorder="1" applyAlignment="1">
      <alignment horizontal="center" vertical="center" wrapText="1"/>
    </xf>
  </cellXfs>
  <cellStyles count="74">
    <cellStyle name="Comma0" xfId="1"/>
    <cellStyle name="Currency0" xfId="2"/>
    <cellStyle name="Date" xfId="3"/>
    <cellStyle name="Euro" xfId="4"/>
    <cellStyle name="Fixed" xfId="5"/>
    <cellStyle name="Heading 1" xfId="6"/>
    <cellStyle name="Heading 2" xfId="7"/>
    <cellStyle name="Hyperlink 2" xfId="8"/>
    <cellStyle name="Moeda" xfId="9" builtinId="4"/>
    <cellStyle name="Moeda 2" xfId="10"/>
    <cellStyle name="Moeda 2 2" xfId="11"/>
    <cellStyle name="Moeda 3" xfId="12"/>
    <cellStyle name="Moeda 4" xfId="13"/>
    <cellStyle name="Moeda 5" xfId="14"/>
    <cellStyle name="Normal" xfId="0" builtinId="0"/>
    <cellStyle name="Normal 10" xfId="15"/>
    <cellStyle name="Normal 10 2" xfId="16"/>
    <cellStyle name="Normal 10 3" xfId="17"/>
    <cellStyle name="Normal 10 4" xfId="18"/>
    <cellStyle name="Normal 11" xfId="19"/>
    <cellStyle name="Normal 11 2" xfId="20"/>
    <cellStyle name="Normal 12" xfId="21"/>
    <cellStyle name="Normal 13" xfId="22"/>
    <cellStyle name="Normal 14" xfId="23"/>
    <cellStyle name="Normal 15" xfId="24"/>
    <cellStyle name="Normal 2" xfId="25"/>
    <cellStyle name="Normal 2 2" xfId="26"/>
    <cellStyle name="Normal 2 2 2" xfId="27"/>
    <cellStyle name="Normal 2 2 3" xfId="28"/>
    <cellStyle name="Normal 2 3" xfId="29"/>
    <cellStyle name="Normal 2 4" xfId="30"/>
    <cellStyle name="Normal 3" xfId="31"/>
    <cellStyle name="Normal 4" xfId="32"/>
    <cellStyle name="Normal 4 2" xfId="33"/>
    <cellStyle name="Normal 4 2 2" xfId="34"/>
    <cellStyle name="Normal 4 2 3" xfId="35"/>
    <cellStyle name="Normal 4 2 4" xfId="36"/>
    <cellStyle name="Normal 4 3" xfId="37"/>
    <cellStyle name="Normal 4 4" xfId="38"/>
    <cellStyle name="Normal 5" xfId="39"/>
    <cellStyle name="Normal 5 2" xfId="40"/>
    <cellStyle name="Normal 5 3" xfId="41"/>
    <cellStyle name="Normal 5 4" xfId="42"/>
    <cellStyle name="Normal 6" xfId="43"/>
    <cellStyle name="Normal 7" xfId="44"/>
    <cellStyle name="Normal 7 2" xfId="45"/>
    <cellStyle name="Normal 8" xfId="46"/>
    <cellStyle name="Normal 8 2" xfId="47"/>
    <cellStyle name="Normal 9" xfId="48"/>
    <cellStyle name="Normal 9 2" xfId="49"/>
    <cellStyle name="Normal_Pesquisa no referencial 10 de maio de 2013" xfId="73"/>
    <cellStyle name="Porcentagem" xfId="50" builtinId="5"/>
    <cellStyle name="Porcentagem 12" xfId="51"/>
    <cellStyle name="Porcentagem 12 2" xfId="52"/>
    <cellStyle name="Porcentagem 12 3" xfId="53"/>
    <cellStyle name="Porcentagem 2" xfId="54"/>
    <cellStyle name="Porcentagem 3" xfId="55"/>
    <cellStyle name="Porcentagem 3 2" xfId="56"/>
    <cellStyle name="Porcentagem 4" xfId="57"/>
    <cellStyle name="Porcentagem 5" xfId="58"/>
    <cellStyle name="Porcentagem 6" xfId="59"/>
    <cellStyle name="Separador de milhares" xfId="71" builtinId="3"/>
    <cellStyle name="Separador de milhares 2" xfId="60"/>
    <cellStyle name="Separador de milhares 2 2" xfId="61"/>
    <cellStyle name="Separador de milhares 2 2 2" xfId="62"/>
    <cellStyle name="Separador de milhares 2 3" xfId="63"/>
    <cellStyle name="Separador de milhares 3" xfId="64"/>
    <cellStyle name="Separador de milhares 4" xfId="65"/>
    <cellStyle name="Separador de milhares 5" xfId="66"/>
    <cellStyle name="Separador de milhares 6" xfId="67"/>
    <cellStyle name="Separador de milhares 7" xfId="68"/>
    <cellStyle name="Separador de milhares 8" xfId="69"/>
    <cellStyle name="Título 1 1" xfId="70"/>
    <cellStyle name="Vírgula 2" xfId="72"/>
  </cellStyles>
  <dxfs count="6"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521805</xdr:colOff>
      <xdr:row>0</xdr:row>
      <xdr:rowOff>345799</xdr:rowOff>
    </xdr:from>
    <xdr:to>
      <xdr:col>9</xdr:col>
      <xdr:colOff>738899</xdr:colOff>
      <xdr:row>6</xdr:row>
      <xdr:rowOff>7522</xdr:rowOff>
    </xdr:to>
    <xdr:pic>
      <xdr:nvPicPr>
        <xdr:cNvPr id="2" name="Imagem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78479" y="345799"/>
          <a:ext cx="1128181" cy="8461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563217</xdr:colOff>
      <xdr:row>1</xdr:row>
      <xdr:rowOff>60048</xdr:rowOff>
    </xdr:from>
    <xdr:to>
      <xdr:col>7</xdr:col>
      <xdr:colOff>581528</xdr:colOff>
      <xdr:row>6</xdr:row>
      <xdr:rowOff>148325</xdr:rowOff>
    </xdr:to>
    <xdr:pic>
      <xdr:nvPicPr>
        <xdr:cNvPr id="2" name="Imagem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09152" y="441048"/>
          <a:ext cx="1310398" cy="9827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609599</xdr:colOff>
      <xdr:row>3</xdr:row>
      <xdr:rowOff>19050</xdr:rowOff>
    </xdr:from>
    <xdr:to>
      <xdr:col>3</xdr:col>
      <xdr:colOff>612733</xdr:colOff>
      <xdr:row>5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466CBA45-9322-47A1-A9DD-363680B49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09599" y="6410325"/>
          <a:ext cx="3134" cy="3048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corre\PUBLICAS%20MUNICIPAIS\P.%20M.%20Porto%20Alegre\SMOV\Estudo%20Pre&#231;os%20Unit&#225;rios\Documents%20and%20Settings\Marcos\My%20Documents\ARQUIVO\OR&#199;AMENTOS\ESTUDO%20COMPOSI&#199;&#213;ES%20SMO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OS\COPA\Av.%20Anita\Grupo\CRIST&#211;V&#195;O\or&#231;amento%20Crist&#243;v&#227;o%2022-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po/Dropbox/Ber%20Projetos%20e%20Obras/Andr&#233;/PAC_OR&#199;AMENTO_E_CRONOGRAMA_2013_desonerad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OS/COPA%20LICITA&#199;&#195;O/Av.%20Julio%20de%20Castilhos/MATERIAL%20GRUPO/GRUPO/TP%20SMOV%20JANEIRO%202011_juli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uipamentos"/>
      <sheetName val="Insumos"/>
      <sheetName val="Orçamento"/>
      <sheetName val="Composições"/>
      <sheetName val="Relatório de Recursos"/>
      <sheetName val="BDI"/>
      <sheetName val="Plan1"/>
      <sheetName val="Planejamento Tributário Proc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mparativo Av. Cristóvã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LS"/>
      <sheetName val="BD"/>
      <sheetName val="RE"/>
      <sheetName val="REFF"/>
      <sheetName val="REL PAG"/>
      <sheetName val="REL BENS"/>
      <sheetName val="OFÍCIO"/>
      <sheetName val="ORÇAMENTO"/>
      <sheetName val="CRONOGRAMA"/>
      <sheetName val="MEDIÇÃO RETIFICADA"/>
      <sheetName val="Planilha15"/>
      <sheetName val="OFICIO"/>
      <sheetName val="RESUMO EMPREENDIMENTO"/>
      <sheetName val="BOLETIM"/>
    </sheetNames>
    <sheetDataSet>
      <sheetData sheetId="0"/>
      <sheetData sheetId="1"/>
      <sheetData sheetId="2">
        <row r="13">
          <cell r="B13">
            <v>1</v>
          </cell>
          <cell r="C13" t="str">
            <v>Construção de Pavilhão 01</v>
          </cell>
          <cell r="E13">
            <v>100</v>
          </cell>
          <cell r="F13">
            <v>538043.25</v>
          </cell>
          <cell r="G13">
            <v>525919.56999999995</v>
          </cell>
          <cell r="H13">
            <v>525919.56999999995</v>
          </cell>
          <cell r="I13">
            <v>525919.56999999995</v>
          </cell>
          <cell r="J13">
            <v>239020.62</v>
          </cell>
          <cell r="K13" t="e">
            <v>#REF!</v>
          </cell>
          <cell r="L13">
            <v>239020.62</v>
          </cell>
          <cell r="M13">
            <v>7.86</v>
          </cell>
          <cell r="N13">
            <v>44.424053270810475</v>
          </cell>
          <cell r="O13">
            <v>45.448131926332394</v>
          </cell>
          <cell r="P13">
            <v>45.448131926332394</v>
          </cell>
        </row>
        <row r="14">
          <cell r="E14">
            <v>0</v>
          </cell>
          <cell r="H14">
            <v>0</v>
          </cell>
          <cell r="I14">
            <v>0</v>
          </cell>
          <cell r="K14" t="e">
            <v>#REF!</v>
          </cell>
          <cell r="N14">
            <v>0</v>
          </cell>
          <cell r="O14">
            <v>0</v>
          </cell>
          <cell r="P14">
            <v>0</v>
          </cell>
        </row>
        <row r="15">
          <cell r="E15">
            <v>0</v>
          </cell>
          <cell r="H15">
            <v>0</v>
          </cell>
          <cell r="I15">
            <v>0</v>
          </cell>
          <cell r="K15" t="e">
            <v>#REF!</v>
          </cell>
          <cell r="N15">
            <v>0</v>
          </cell>
          <cell r="O15">
            <v>0</v>
          </cell>
          <cell r="P15">
            <v>0</v>
          </cell>
        </row>
        <row r="16">
          <cell r="E16">
            <v>0</v>
          </cell>
          <cell r="H16">
            <v>0</v>
          </cell>
          <cell r="I16">
            <v>0</v>
          </cell>
          <cell r="K16" t="e">
            <v>#REF!</v>
          </cell>
          <cell r="N16">
            <v>0</v>
          </cell>
          <cell r="O16">
            <v>0</v>
          </cell>
          <cell r="P16">
            <v>0</v>
          </cell>
        </row>
        <row r="17">
          <cell r="E17">
            <v>0</v>
          </cell>
          <cell r="H17">
            <v>0</v>
          </cell>
          <cell r="I17">
            <v>0</v>
          </cell>
          <cell r="K17" t="e">
            <v>#REF!</v>
          </cell>
          <cell r="N17">
            <v>0</v>
          </cell>
          <cell r="O17">
            <v>0</v>
          </cell>
          <cell r="P17">
            <v>0</v>
          </cell>
        </row>
        <row r="18">
          <cell r="E18">
            <v>0</v>
          </cell>
          <cell r="H18">
            <v>0</v>
          </cell>
          <cell r="I18">
            <v>0</v>
          </cell>
          <cell r="K18" t="e">
            <v>#REF!</v>
          </cell>
          <cell r="N18">
            <v>0</v>
          </cell>
          <cell r="O18">
            <v>0</v>
          </cell>
          <cell r="P18">
            <v>0</v>
          </cell>
        </row>
        <row r="19">
          <cell r="E19">
            <v>0</v>
          </cell>
          <cell r="H19">
            <v>0</v>
          </cell>
          <cell r="I19">
            <v>0</v>
          </cell>
          <cell r="K19" t="e">
            <v>#REF!</v>
          </cell>
          <cell r="N19">
            <v>0</v>
          </cell>
          <cell r="O19">
            <v>0</v>
          </cell>
          <cell r="P19">
            <v>0</v>
          </cell>
        </row>
        <row r="20">
          <cell r="E20">
            <v>0</v>
          </cell>
          <cell r="H20">
            <v>0</v>
          </cell>
          <cell r="I20">
            <v>0</v>
          </cell>
          <cell r="K20" t="e">
            <v>#REF!</v>
          </cell>
          <cell r="N20">
            <v>0</v>
          </cell>
          <cell r="O20">
            <v>0</v>
          </cell>
          <cell r="P20">
            <v>0</v>
          </cell>
        </row>
        <row r="21">
          <cell r="E21">
            <v>0</v>
          </cell>
          <cell r="H21">
            <v>0</v>
          </cell>
          <cell r="I21">
            <v>0</v>
          </cell>
          <cell r="K21" t="e">
            <v>#REF!</v>
          </cell>
          <cell r="N21">
            <v>0</v>
          </cell>
          <cell r="O21">
            <v>0</v>
          </cell>
          <cell r="P21">
            <v>0</v>
          </cell>
        </row>
        <row r="22">
          <cell r="E22">
            <v>0</v>
          </cell>
          <cell r="H22">
            <v>0</v>
          </cell>
          <cell r="I22">
            <v>0</v>
          </cell>
          <cell r="K22" t="e">
            <v>#REF!</v>
          </cell>
          <cell r="N22">
            <v>0</v>
          </cell>
          <cell r="O22">
            <v>0</v>
          </cell>
          <cell r="P22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K23" t="e">
            <v>#REF!</v>
          </cell>
          <cell r="N23">
            <v>0</v>
          </cell>
          <cell r="O23">
            <v>0</v>
          </cell>
          <cell r="P23">
            <v>0</v>
          </cell>
        </row>
        <row r="24">
          <cell r="E24">
            <v>0</v>
          </cell>
          <cell r="H24">
            <v>0</v>
          </cell>
          <cell r="I24">
            <v>0</v>
          </cell>
          <cell r="K24" t="e">
            <v>#REF!</v>
          </cell>
          <cell r="N24">
            <v>0</v>
          </cell>
          <cell r="O24">
            <v>0</v>
          </cell>
          <cell r="P24">
            <v>0</v>
          </cell>
        </row>
        <row r="25">
          <cell r="B25" t="str">
            <v>TOTAL OBRAS</v>
          </cell>
          <cell r="E25">
            <v>100</v>
          </cell>
          <cell r="F25">
            <v>538043.25</v>
          </cell>
          <cell r="G25">
            <v>525919.56999999995</v>
          </cell>
          <cell r="H25">
            <v>525919.56999999995</v>
          </cell>
          <cell r="I25">
            <v>525919.56999999995</v>
          </cell>
          <cell r="J25">
            <v>239020.62</v>
          </cell>
          <cell r="K25" t="e">
            <v>#REF!</v>
          </cell>
          <cell r="L25">
            <v>239020.62</v>
          </cell>
          <cell r="M25">
            <v>7.86</v>
          </cell>
          <cell r="N25">
            <v>44.424053270810475</v>
          </cell>
          <cell r="O25">
            <v>45.448131926332394</v>
          </cell>
          <cell r="P25">
            <v>45.448131926332394</v>
          </cell>
        </row>
        <row r="26">
          <cell r="E26">
            <v>0</v>
          </cell>
          <cell r="H26">
            <v>0</v>
          </cell>
          <cell r="I26">
            <v>0</v>
          </cell>
          <cell r="K26" t="e">
            <v>#REF!</v>
          </cell>
          <cell r="N26">
            <v>0</v>
          </cell>
          <cell r="O26">
            <v>0</v>
          </cell>
          <cell r="P26">
            <v>0</v>
          </cell>
        </row>
        <row r="27">
          <cell r="E27">
            <v>0</v>
          </cell>
          <cell r="H27">
            <v>0</v>
          </cell>
          <cell r="I27">
            <v>0</v>
          </cell>
          <cell r="K27" t="e">
            <v>#REF!</v>
          </cell>
          <cell r="N27">
            <v>0</v>
          </cell>
          <cell r="O27">
            <v>0</v>
          </cell>
          <cell r="P27">
            <v>0</v>
          </cell>
        </row>
        <row r="28">
          <cell r="E28">
            <v>0</v>
          </cell>
          <cell r="H28">
            <v>0</v>
          </cell>
          <cell r="I28">
            <v>0</v>
          </cell>
          <cell r="K28" t="e">
            <v>#REF!</v>
          </cell>
          <cell r="N28">
            <v>0</v>
          </cell>
          <cell r="O28">
            <v>0</v>
          </cell>
          <cell r="P28">
            <v>0</v>
          </cell>
        </row>
        <row r="29">
          <cell r="E29">
            <v>0</v>
          </cell>
          <cell r="H29">
            <v>0</v>
          </cell>
          <cell r="I29">
            <v>0</v>
          </cell>
          <cell r="K29" t="e">
            <v>#REF!</v>
          </cell>
          <cell r="N29">
            <v>0</v>
          </cell>
          <cell r="O29">
            <v>0</v>
          </cell>
          <cell r="P29">
            <v>0</v>
          </cell>
        </row>
        <row r="30">
          <cell r="E30">
            <v>0</v>
          </cell>
          <cell r="H30">
            <v>0</v>
          </cell>
          <cell r="I30">
            <v>0</v>
          </cell>
          <cell r="K30" t="e">
            <v>#REF!</v>
          </cell>
          <cell r="N30">
            <v>0</v>
          </cell>
          <cell r="O30">
            <v>0</v>
          </cell>
          <cell r="P30">
            <v>0</v>
          </cell>
        </row>
        <row r="31">
          <cell r="E31">
            <v>0</v>
          </cell>
          <cell r="H31">
            <v>0</v>
          </cell>
          <cell r="I31">
            <v>0</v>
          </cell>
          <cell r="K31" t="e">
            <v>#REF!</v>
          </cell>
          <cell r="N31">
            <v>0</v>
          </cell>
          <cell r="O31">
            <v>0</v>
          </cell>
          <cell r="P31">
            <v>0</v>
          </cell>
        </row>
        <row r="32">
          <cell r="E32">
            <v>0</v>
          </cell>
          <cell r="H32">
            <v>0</v>
          </cell>
          <cell r="I32">
            <v>0</v>
          </cell>
          <cell r="K32" t="e">
            <v>#REF!</v>
          </cell>
          <cell r="N32">
            <v>0</v>
          </cell>
          <cell r="O32">
            <v>0</v>
          </cell>
          <cell r="P32">
            <v>0</v>
          </cell>
        </row>
        <row r="33">
          <cell r="E33">
            <v>0</v>
          </cell>
          <cell r="H33">
            <v>0</v>
          </cell>
          <cell r="I33">
            <v>0</v>
          </cell>
          <cell r="K33" t="e">
            <v>#REF!</v>
          </cell>
          <cell r="N33">
            <v>0</v>
          </cell>
          <cell r="O33">
            <v>0</v>
          </cell>
          <cell r="P33">
            <v>0</v>
          </cell>
        </row>
        <row r="34">
          <cell r="E34">
            <v>0</v>
          </cell>
          <cell r="H34">
            <v>0</v>
          </cell>
          <cell r="I34">
            <v>0</v>
          </cell>
          <cell r="K34" t="e">
            <v>#REF!</v>
          </cell>
          <cell r="N34">
            <v>0</v>
          </cell>
          <cell r="O34">
            <v>0</v>
          </cell>
          <cell r="P34">
            <v>0</v>
          </cell>
        </row>
        <row r="35">
          <cell r="E35">
            <v>0</v>
          </cell>
          <cell r="H35">
            <v>0</v>
          </cell>
          <cell r="I35">
            <v>0</v>
          </cell>
          <cell r="K35" t="e">
            <v>#REF!</v>
          </cell>
          <cell r="N35">
            <v>0</v>
          </cell>
          <cell r="O35">
            <v>0</v>
          </cell>
          <cell r="P35">
            <v>0</v>
          </cell>
        </row>
        <row r="36">
          <cell r="E36">
            <v>0</v>
          </cell>
          <cell r="H36">
            <v>0</v>
          </cell>
          <cell r="I36">
            <v>0</v>
          </cell>
          <cell r="K36" t="e">
            <v>#REF!</v>
          </cell>
          <cell r="N36">
            <v>0</v>
          </cell>
          <cell r="O36">
            <v>0</v>
          </cell>
          <cell r="P36">
            <v>0</v>
          </cell>
        </row>
        <row r="37">
          <cell r="E37">
            <v>0</v>
          </cell>
          <cell r="H37">
            <v>0</v>
          </cell>
          <cell r="I37">
            <v>0</v>
          </cell>
          <cell r="K37" t="e">
            <v>#REF!</v>
          </cell>
          <cell r="N37">
            <v>0</v>
          </cell>
          <cell r="O37">
            <v>0</v>
          </cell>
          <cell r="P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READ ME"/>
      <sheetName val="C.P.02.081028.10.5"/>
      <sheetName val="Comparativo"/>
      <sheetName val="Dados"/>
      <sheetName val="Lista CPUs"/>
      <sheetName val="CPUs"/>
      <sheetName val="Equipamentos 1"/>
      <sheetName val="Ct Hor Equip 2"/>
      <sheetName val="M.Obra 3"/>
      <sheetName val="Ct Hor MDO 4"/>
      <sheetName val="Materiais 5"/>
      <sheetName val="Transportes 6"/>
      <sheetName val="Ensaios Pav.Asfáltica 7"/>
      <sheetName val="Ensaios Base 8"/>
      <sheetName val="Nº ENSAIOS 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AA8">
            <v>1.9735</v>
          </cell>
          <cell r="AC8">
            <v>0.2064</v>
          </cell>
        </row>
        <row r="9">
          <cell r="AA9">
            <v>2.1135999999999999</v>
          </cell>
          <cell r="AC9">
            <v>2.59</v>
          </cell>
        </row>
      </sheetData>
      <sheetData sheetId="8" refreshError="1"/>
      <sheetData sheetId="9" refreshError="1">
        <row r="8">
          <cell r="P8">
            <v>2.1135999999999999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0"/>
  <sheetViews>
    <sheetView tabSelected="1" view="pageBreakPreview" zoomScale="115" zoomScaleNormal="100" zoomScaleSheetLayoutView="115" zoomScalePageLayoutView="75" workbookViewId="0">
      <selection activeCell="I109" sqref="I109"/>
    </sheetView>
  </sheetViews>
  <sheetFormatPr defaultRowHeight="12.75"/>
  <cols>
    <col min="1" max="1" width="5" style="29" customWidth="1"/>
    <col min="2" max="2" width="115.28515625" style="29" customWidth="1"/>
    <col min="3" max="3" width="8" style="29" bestFit="1" customWidth="1"/>
    <col min="4" max="4" width="14.5703125" style="92" customWidth="1"/>
    <col min="5" max="5" width="3.5703125" style="39" bestFit="1" customWidth="1"/>
    <col min="6" max="6" width="14.7109375" style="29" customWidth="1"/>
    <col min="7" max="7" width="9.5703125" style="86" customWidth="1"/>
    <col min="8" max="8" width="9.140625" style="29" customWidth="1"/>
    <col min="9" max="9" width="13.7109375" style="29" bestFit="1" customWidth="1"/>
    <col min="10" max="10" width="11.42578125" style="29" customWidth="1"/>
    <col min="11" max="11" width="1.7109375" style="30" customWidth="1"/>
    <col min="12" max="12" width="25.5703125" style="30" bestFit="1" customWidth="1"/>
    <col min="13" max="13" width="15.42578125" style="30" customWidth="1"/>
    <col min="14" max="14" width="11.7109375" style="30" bestFit="1" customWidth="1"/>
    <col min="15" max="15" width="11.28515625" style="30" bestFit="1" customWidth="1"/>
    <col min="16" max="16384" width="9.140625" style="30"/>
  </cols>
  <sheetData>
    <row r="1" spans="1:12" ht="30" customHeight="1">
      <c r="A1" s="146" t="s">
        <v>6</v>
      </c>
      <c r="B1" s="147"/>
      <c r="C1" s="147"/>
      <c r="D1" s="147"/>
      <c r="E1" s="147"/>
      <c r="F1" s="147"/>
      <c r="G1" s="147"/>
      <c r="H1" s="147"/>
      <c r="I1" s="147"/>
      <c r="J1" s="148"/>
      <c r="K1" s="29"/>
    </row>
    <row r="2" spans="1:12" ht="9" customHeight="1">
      <c r="A2" s="149"/>
      <c r="B2" s="150"/>
      <c r="C2" s="150"/>
      <c r="D2" s="150"/>
      <c r="E2" s="150"/>
      <c r="F2" s="150"/>
      <c r="G2" s="150"/>
      <c r="H2" s="150"/>
      <c r="I2" s="150"/>
      <c r="J2" s="151"/>
      <c r="K2" s="29"/>
    </row>
    <row r="3" spans="1:12" ht="14.25">
      <c r="A3" s="54" t="s">
        <v>139</v>
      </c>
      <c r="B3" s="53"/>
      <c r="C3" s="53"/>
      <c r="D3" s="55"/>
      <c r="E3" s="56"/>
      <c r="F3" s="38"/>
      <c r="G3" s="57"/>
      <c r="H3" s="58"/>
      <c r="I3" s="59"/>
      <c r="J3" s="60"/>
      <c r="K3" s="29"/>
    </row>
    <row r="4" spans="1:12">
      <c r="A4" s="54" t="s">
        <v>140</v>
      </c>
      <c r="B4" s="53"/>
      <c r="C4" s="53"/>
      <c r="D4" s="55"/>
      <c r="E4" s="56"/>
      <c r="F4" s="53"/>
      <c r="G4" s="58"/>
      <c r="H4" s="178"/>
      <c r="I4" s="179"/>
      <c r="J4" s="61"/>
      <c r="K4" s="29"/>
      <c r="L4" s="88"/>
    </row>
    <row r="5" spans="1:12">
      <c r="A5" s="54" t="s">
        <v>141</v>
      </c>
      <c r="B5" s="53"/>
      <c r="C5" s="53"/>
      <c r="D5" s="55"/>
      <c r="E5" s="56"/>
      <c r="F5" s="53"/>
      <c r="G5" s="58"/>
      <c r="H5" s="180"/>
      <c r="I5" s="180"/>
      <c r="J5" s="61"/>
      <c r="K5" s="29"/>
    </row>
    <row r="6" spans="1:12" ht="13.5" thickBot="1">
      <c r="A6" s="62" t="s">
        <v>165</v>
      </c>
      <c r="B6" s="53"/>
      <c r="C6" s="53"/>
      <c r="D6" s="55"/>
      <c r="E6" s="157" t="s">
        <v>22</v>
      </c>
      <c r="F6" s="157"/>
      <c r="G6" s="79">
        <v>0.20979999999999999</v>
      </c>
      <c r="H6" s="58"/>
      <c r="I6" s="38"/>
      <c r="J6" s="61"/>
      <c r="K6" s="29"/>
    </row>
    <row r="7" spans="1:12" ht="13.5" customHeight="1">
      <c r="A7" s="161" t="s">
        <v>1</v>
      </c>
      <c r="B7" s="152" t="s">
        <v>7</v>
      </c>
      <c r="C7" s="166" t="s">
        <v>26</v>
      </c>
      <c r="D7" s="167"/>
      <c r="E7" s="152" t="s">
        <v>8</v>
      </c>
      <c r="F7" s="164" t="s">
        <v>9</v>
      </c>
      <c r="G7" s="155" t="s">
        <v>18</v>
      </c>
      <c r="H7" s="155" t="s">
        <v>21</v>
      </c>
      <c r="I7" s="155" t="s">
        <v>20</v>
      </c>
      <c r="J7" s="158" t="s">
        <v>2</v>
      </c>
      <c r="K7" s="29"/>
    </row>
    <row r="8" spans="1:12">
      <c r="A8" s="162"/>
      <c r="B8" s="153"/>
      <c r="C8" s="168"/>
      <c r="D8" s="169"/>
      <c r="E8" s="153"/>
      <c r="F8" s="165"/>
      <c r="G8" s="156"/>
      <c r="H8" s="156"/>
      <c r="I8" s="156"/>
      <c r="J8" s="159"/>
      <c r="K8" s="29"/>
    </row>
    <row r="9" spans="1:12" ht="13.5" thickBot="1">
      <c r="A9" s="163"/>
      <c r="B9" s="154"/>
      <c r="C9" s="170"/>
      <c r="D9" s="171"/>
      <c r="E9" s="154"/>
      <c r="F9" s="33" t="s">
        <v>10</v>
      </c>
      <c r="G9" s="34" t="s">
        <v>19</v>
      </c>
      <c r="H9" s="34" t="s">
        <v>23</v>
      </c>
      <c r="I9" s="172"/>
      <c r="J9" s="160"/>
      <c r="K9" s="29"/>
    </row>
    <row r="10" spans="1:12" s="38" customFormat="1" ht="8.25" customHeight="1" thickBot="1">
      <c r="A10" s="35"/>
      <c r="B10" s="35"/>
      <c r="C10" s="35"/>
      <c r="D10" s="35"/>
      <c r="E10" s="35"/>
      <c r="F10" s="35"/>
      <c r="G10" s="35"/>
      <c r="H10" s="36"/>
      <c r="I10" s="36"/>
      <c r="J10" s="37"/>
    </row>
    <row r="11" spans="1:12" ht="18" customHeight="1">
      <c r="A11" s="68">
        <v>1</v>
      </c>
      <c r="B11" s="175" t="s">
        <v>16</v>
      </c>
      <c r="C11" s="176"/>
      <c r="D11" s="176"/>
      <c r="E11" s="176"/>
      <c r="F11" s="176"/>
      <c r="G11" s="176"/>
      <c r="H11" s="176"/>
      <c r="I11" s="176"/>
      <c r="J11" s="177"/>
      <c r="K11" s="29"/>
    </row>
    <row r="12" spans="1:12" ht="15">
      <c r="A12" s="46" t="s">
        <v>12</v>
      </c>
      <c r="B12" s="67" t="s">
        <v>143</v>
      </c>
      <c r="C12" s="47" t="s">
        <v>27</v>
      </c>
      <c r="D12" s="69">
        <v>99814</v>
      </c>
      <c r="E12" s="69" t="s">
        <v>38</v>
      </c>
      <c r="F12" s="70">
        <v>135</v>
      </c>
      <c r="G12" s="82">
        <v>1.97</v>
      </c>
      <c r="H12" s="48">
        <f>ROUND(G12*(1+$G$6),2)</f>
        <v>2.38</v>
      </c>
      <c r="I12" s="49">
        <f>ROUND(F12*H12,2)</f>
        <v>321.3</v>
      </c>
      <c r="J12" s="50">
        <f>ROUND(I12/$I$15,4)</f>
        <v>3.5799999999999998E-2</v>
      </c>
      <c r="K12" s="29"/>
    </row>
    <row r="13" spans="1:12" ht="12.75" customHeight="1">
      <c r="A13" s="46" t="s">
        <v>62</v>
      </c>
      <c r="B13" s="67" t="s">
        <v>142</v>
      </c>
      <c r="C13" s="47" t="s">
        <v>27</v>
      </c>
      <c r="D13" s="69">
        <v>98458</v>
      </c>
      <c r="E13" s="69" t="s">
        <v>38</v>
      </c>
      <c r="F13" s="70">
        <f>24*2.1</f>
        <v>50.4</v>
      </c>
      <c r="G13" s="82">
        <v>127.48</v>
      </c>
      <c r="H13" s="48">
        <f>ROUND(G13*(1+$G$6),2)</f>
        <v>154.22999999999999</v>
      </c>
      <c r="I13" s="49">
        <f>ROUND(F13*H13,2)</f>
        <v>7773.19</v>
      </c>
      <c r="J13" s="50">
        <f>ROUND(I13/$I$15,4)</f>
        <v>0.86699999999999999</v>
      </c>
      <c r="K13" s="29"/>
    </row>
    <row r="14" spans="1:12" ht="12.75" customHeight="1">
      <c r="A14" s="95" t="s">
        <v>111</v>
      </c>
      <c r="B14" s="111" t="s">
        <v>113</v>
      </c>
      <c r="C14" s="47" t="s">
        <v>27</v>
      </c>
      <c r="D14" s="69">
        <v>4813</v>
      </c>
      <c r="E14" s="69" t="s">
        <v>38</v>
      </c>
      <c r="F14" s="98">
        <v>2.88</v>
      </c>
      <c r="G14" s="82">
        <v>250</v>
      </c>
      <c r="H14" s="48">
        <f>ROUND(G14*(1+$G$6),2)</f>
        <v>302.45</v>
      </c>
      <c r="I14" s="49">
        <f>ROUND(F14*H14,2)</f>
        <v>871.06</v>
      </c>
      <c r="J14" s="50">
        <f>ROUND(I14/$I$15,4)</f>
        <v>9.7199999999999995E-2</v>
      </c>
      <c r="K14" s="29"/>
    </row>
    <row r="15" spans="1:12" ht="12.75" customHeight="1" thickBot="1">
      <c r="A15" s="173" t="s">
        <v>25</v>
      </c>
      <c r="B15" s="174"/>
      <c r="C15" s="174"/>
      <c r="D15" s="174"/>
      <c r="E15" s="174"/>
      <c r="F15" s="174"/>
      <c r="G15" s="174"/>
      <c r="H15" s="40">
        <f>$A$11</f>
        <v>1</v>
      </c>
      <c r="I15" s="45">
        <f>ROUND(SUM(I12:I14),2)</f>
        <v>8965.5499999999993</v>
      </c>
      <c r="J15" s="42">
        <f>ROUND(I15/$I$109,4)</f>
        <v>6.2300000000000001E-2</v>
      </c>
      <c r="K15" s="29"/>
      <c r="L15" s="64"/>
    </row>
    <row r="16" spans="1:12" s="38" customFormat="1" ht="8.25" customHeight="1" thickBot="1">
      <c r="A16" s="43"/>
      <c r="B16" s="71"/>
      <c r="C16" s="43"/>
      <c r="D16" s="90"/>
      <c r="E16" s="71"/>
      <c r="F16" s="71"/>
      <c r="G16" s="43"/>
      <c r="H16" s="36"/>
      <c r="I16" s="36"/>
      <c r="J16" s="44"/>
    </row>
    <row r="17" spans="1:14" ht="18" customHeight="1">
      <c r="A17" s="68">
        <v>2</v>
      </c>
      <c r="B17" s="175" t="s">
        <v>29</v>
      </c>
      <c r="C17" s="176"/>
      <c r="D17" s="176"/>
      <c r="E17" s="176"/>
      <c r="F17" s="176"/>
      <c r="G17" s="176"/>
      <c r="H17" s="176"/>
      <c r="I17" s="176"/>
      <c r="J17" s="177"/>
      <c r="K17" s="29"/>
      <c r="L17" s="31"/>
    </row>
    <row r="18" spans="1:14" ht="13.5" hidden="1" customHeight="1">
      <c r="A18" s="46" t="s">
        <v>13</v>
      </c>
      <c r="B18" s="67" t="s">
        <v>119</v>
      </c>
      <c r="C18" s="47" t="s">
        <v>27</v>
      </c>
      <c r="D18" s="69">
        <v>96527</v>
      </c>
      <c r="E18" s="69" t="s">
        <v>39</v>
      </c>
      <c r="F18" s="70">
        <v>19.5</v>
      </c>
      <c r="G18" s="82">
        <v>111.2</v>
      </c>
      <c r="H18" s="48">
        <f t="shared" ref="H18:H20" si="0">ROUND(G18*(1+$G$6),2)</f>
        <v>134.53</v>
      </c>
      <c r="I18" s="49">
        <f t="shared" ref="I18:I20" si="1">ROUND(F18*H18,2)</f>
        <v>2623.34</v>
      </c>
      <c r="J18" s="50">
        <f>ROUND(I18/$I$27,4)</f>
        <v>0.18029999999999999</v>
      </c>
      <c r="K18" s="29"/>
      <c r="L18" s="31"/>
      <c r="N18" s="32"/>
    </row>
    <row r="19" spans="1:14" ht="13.5" hidden="1" customHeight="1">
      <c r="A19" s="46" t="s">
        <v>14</v>
      </c>
      <c r="B19" s="67" t="s">
        <v>114</v>
      </c>
      <c r="C19" s="47" t="s">
        <v>27</v>
      </c>
      <c r="D19" s="69">
        <v>101616</v>
      </c>
      <c r="E19" s="69" t="s">
        <v>38</v>
      </c>
      <c r="F19" s="70">
        <v>24.4</v>
      </c>
      <c r="G19" s="82">
        <v>5.41</v>
      </c>
      <c r="H19" s="48">
        <f t="shared" si="0"/>
        <v>6.55</v>
      </c>
      <c r="I19" s="49">
        <f t="shared" si="1"/>
        <v>159.82</v>
      </c>
      <c r="J19" s="50">
        <f>ROUND(I19/$I$27,4)</f>
        <v>1.0999999999999999E-2</v>
      </c>
      <c r="K19" s="29"/>
      <c r="L19" s="31"/>
      <c r="N19" s="32"/>
    </row>
    <row r="20" spans="1:14" s="88" customFormat="1" ht="14.25" hidden="1" customHeight="1">
      <c r="A20" s="46" t="s">
        <v>15</v>
      </c>
      <c r="B20" s="67" t="s">
        <v>120</v>
      </c>
      <c r="C20" s="81" t="s">
        <v>27</v>
      </c>
      <c r="D20" s="69">
        <v>95474</v>
      </c>
      <c r="E20" s="69" t="s">
        <v>39</v>
      </c>
      <c r="F20" s="70">
        <f>((0.6*0.4*8.5)*2)+((0.6*0.4*5.15)*2)+(0.6*0.4*5.15)</f>
        <v>7.79</v>
      </c>
      <c r="G20" s="82">
        <v>618.37</v>
      </c>
      <c r="H20" s="83">
        <f t="shared" si="0"/>
        <v>748.1</v>
      </c>
      <c r="I20" s="84">
        <f t="shared" si="1"/>
        <v>5827.7</v>
      </c>
      <c r="J20" s="85">
        <f>ROUND(I20/$I$27,4)</f>
        <v>0.40050000000000002</v>
      </c>
      <c r="K20" s="86"/>
      <c r="L20" s="87"/>
      <c r="N20" s="89"/>
    </row>
    <row r="21" spans="1:14" s="88" customFormat="1" ht="14.25" hidden="1" customHeight="1">
      <c r="A21" s="95" t="s">
        <v>94</v>
      </c>
      <c r="B21" s="104" t="s">
        <v>96</v>
      </c>
      <c r="C21" s="99" t="s">
        <v>93</v>
      </c>
      <c r="D21" s="114">
        <v>92775</v>
      </c>
      <c r="E21" s="69" t="s">
        <v>102</v>
      </c>
      <c r="F21" s="70">
        <v>28.46</v>
      </c>
      <c r="G21" s="82">
        <v>19.190000000000001</v>
      </c>
      <c r="H21" s="83">
        <f t="shared" ref="H21:H25" si="2">ROUND(G21*(1+$G$6),2)</f>
        <v>23.22</v>
      </c>
      <c r="I21" s="84">
        <f t="shared" ref="I21:I25" si="3">ROUND(F21*H21,2)</f>
        <v>660.84</v>
      </c>
      <c r="J21" s="85">
        <f t="shared" ref="J21:J26" si="4">ROUND(I21/$I$27,4)</f>
        <v>4.5400000000000003E-2</v>
      </c>
      <c r="K21" s="86"/>
      <c r="L21" s="87"/>
      <c r="N21" s="89"/>
    </row>
    <row r="22" spans="1:14" s="88" customFormat="1" ht="14.25" hidden="1" customHeight="1">
      <c r="A22" s="95" t="s">
        <v>95</v>
      </c>
      <c r="B22" s="104" t="s">
        <v>100</v>
      </c>
      <c r="C22" s="99" t="s">
        <v>93</v>
      </c>
      <c r="D22" s="114">
        <v>92778</v>
      </c>
      <c r="E22" s="69" t="s">
        <v>102</v>
      </c>
      <c r="F22" s="70">
        <v>52.2</v>
      </c>
      <c r="G22" s="82">
        <v>15.15</v>
      </c>
      <c r="H22" s="83">
        <f t="shared" si="2"/>
        <v>18.329999999999998</v>
      </c>
      <c r="I22" s="84">
        <f t="shared" si="3"/>
        <v>956.83</v>
      </c>
      <c r="J22" s="85">
        <f t="shared" si="4"/>
        <v>6.5799999999999997E-2</v>
      </c>
      <c r="K22" s="86"/>
      <c r="L22" s="87"/>
      <c r="N22" s="89"/>
    </row>
    <row r="23" spans="1:14" s="88" customFormat="1" ht="14.25" hidden="1" customHeight="1">
      <c r="A23" s="95" t="s">
        <v>97</v>
      </c>
      <c r="B23" s="104" t="s">
        <v>101</v>
      </c>
      <c r="C23" s="99" t="s">
        <v>93</v>
      </c>
      <c r="D23" s="114">
        <v>92779</v>
      </c>
      <c r="E23" s="69" t="s">
        <v>102</v>
      </c>
      <c r="F23" s="70">
        <v>40.65</v>
      </c>
      <c r="G23" s="82">
        <v>12.75</v>
      </c>
      <c r="H23" s="83">
        <f t="shared" si="2"/>
        <v>15.42</v>
      </c>
      <c r="I23" s="84">
        <f t="shared" si="3"/>
        <v>626.82000000000005</v>
      </c>
      <c r="J23" s="85">
        <f t="shared" si="4"/>
        <v>4.3099999999999999E-2</v>
      </c>
      <c r="K23" s="86"/>
      <c r="L23" s="87"/>
      <c r="N23" s="89"/>
    </row>
    <row r="24" spans="1:14" s="88" customFormat="1" ht="14.25" hidden="1" customHeight="1">
      <c r="A24" s="95" t="s">
        <v>98</v>
      </c>
      <c r="B24" s="100" t="s">
        <v>92</v>
      </c>
      <c r="C24" s="101" t="s">
        <v>93</v>
      </c>
      <c r="D24" s="115">
        <v>96557</v>
      </c>
      <c r="E24" s="69" t="s">
        <v>39</v>
      </c>
      <c r="F24" s="102">
        <v>1.37</v>
      </c>
      <c r="G24" s="103">
        <v>599.57000000000005</v>
      </c>
      <c r="H24" s="83">
        <f t="shared" si="2"/>
        <v>725.36</v>
      </c>
      <c r="I24" s="84">
        <f t="shared" si="3"/>
        <v>993.74</v>
      </c>
      <c r="J24" s="85">
        <f t="shared" si="4"/>
        <v>6.83E-2</v>
      </c>
      <c r="K24" s="86"/>
      <c r="L24" s="87"/>
      <c r="N24" s="89"/>
    </row>
    <row r="25" spans="1:14" s="88" customFormat="1" ht="14.25" hidden="1" customHeight="1">
      <c r="A25" s="95" t="s">
        <v>99</v>
      </c>
      <c r="B25" s="105" t="s">
        <v>112</v>
      </c>
      <c r="C25" s="99" t="s">
        <v>93</v>
      </c>
      <c r="D25" s="97">
        <v>98562</v>
      </c>
      <c r="E25" s="69" t="s">
        <v>38</v>
      </c>
      <c r="F25" s="70">
        <f>((8.5*0.3)*4)+((5.15*0.3)*4)+((5.1*0.3)*2)</f>
        <v>19.440000000000001</v>
      </c>
      <c r="G25" s="82">
        <v>39.03</v>
      </c>
      <c r="H25" s="83">
        <f t="shared" si="2"/>
        <v>47.22</v>
      </c>
      <c r="I25" s="84">
        <f t="shared" si="3"/>
        <v>917.96</v>
      </c>
      <c r="J25" s="85">
        <f t="shared" si="4"/>
        <v>6.3100000000000003E-2</v>
      </c>
      <c r="K25" s="86"/>
      <c r="L25" s="87"/>
      <c r="N25" s="89"/>
    </row>
    <row r="26" spans="1:14" s="88" customFormat="1" ht="14.25" hidden="1" customHeight="1">
      <c r="A26" s="95" t="s">
        <v>121</v>
      </c>
      <c r="B26" s="113" t="s">
        <v>122</v>
      </c>
      <c r="C26" s="99" t="s">
        <v>93</v>
      </c>
      <c r="D26" s="97">
        <v>92447</v>
      </c>
      <c r="E26" s="69" t="s">
        <v>38</v>
      </c>
      <c r="F26" s="98">
        <f>19.5/2</f>
        <v>9.75</v>
      </c>
      <c r="G26" s="82">
        <v>151.36000000000001</v>
      </c>
      <c r="H26" s="83">
        <f t="shared" ref="H26" si="5">ROUND(G26*(1+$G$6),2)</f>
        <v>183.12</v>
      </c>
      <c r="I26" s="84">
        <f t="shared" ref="I26" si="6">ROUND(F26*H26,2)</f>
        <v>1785.42</v>
      </c>
      <c r="J26" s="85">
        <f t="shared" si="4"/>
        <v>0.1227</v>
      </c>
      <c r="K26" s="86"/>
      <c r="L26" s="87"/>
      <c r="N26" s="89"/>
    </row>
    <row r="27" spans="1:14" ht="12.75" hidden="1" customHeight="1" thickBot="1">
      <c r="A27" s="173" t="s">
        <v>25</v>
      </c>
      <c r="B27" s="174"/>
      <c r="C27" s="174"/>
      <c r="D27" s="174"/>
      <c r="E27" s="174"/>
      <c r="F27" s="174"/>
      <c r="G27" s="174"/>
      <c r="H27" s="40">
        <f>A17</f>
        <v>2</v>
      </c>
      <c r="I27" s="45">
        <f>ROUND(SUM(I18:I26),2)</f>
        <v>14552.47</v>
      </c>
      <c r="J27" s="42">
        <f>ROUND(I27/$I$109,4)</f>
        <v>0.10100000000000001</v>
      </c>
      <c r="K27" s="29"/>
      <c r="L27" s="63"/>
      <c r="N27" s="32"/>
    </row>
    <row r="28" spans="1:14" ht="12.75" customHeight="1" thickBot="1">
      <c r="A28" s="72"/>
      <c r="B28" s="71"/>
      <c r="C28" s="72"/>
      <c r="D28" s="90"/>
      <c r="E28" s="71"/>
      <c r="F28" s="71"/>
      <c r="G28" s="72"/>
      <c r="H28" s="73"/>
      <c r="I28" s="36"/>
      <c r="J28" s="44"/>
      <c r="K28" s="29"/>
      <c r="L28" s="63"/>
      <c r="N28" s="32"/>
    </row>
    <row r="29" spans="1:14" ht="12.75" customHeight="1">
      <c r="A29" s="68">
        <v>3</v>
      </c>
      <c r="B29" s="175" t="s">
        <v>30</v>
      </c>
      <c r="C29" s="176"/>
      <c r="D29" s="176"/>
      <c r="E29" s="176"/>
      <c r="F29" s="176"/>
      <c r="G29" s="176"/>
      <c r="H29" s="176"/>
      <c r="I29" s="176"/>
      <c r="J29" s="177"/>
      <c r="K29" s="29"/>
      <c r="L29" s="63"/>
      <c r="N29" s="32"/>
    </row>
    <row r="30" spans="1:14" ht="12.75" hidden="1" customHeight="1">
      <c r="A30" s="46" t="s">
        <v>43</v>
      </c>
      <c r="B30" s="67" t="s">
        <v>86</v>
      </c>
      <c r="C30" s="47" t="s">
        <v>27</v>
      </c>
      <c r="D30" s="69">
        <v>94990</v>
      </c>
      <c r="E30" s="69" t="s">
        <v>39</v>
      </c>
      <c r="F30" s="70">
        <f>(29.34+9.7)*0.05</f>
        <v>1.95</v>
      </c>
      <c r="G30" s="82">
        <v>713.99</v>
      </c>
      <c r="H30" s="48">
        <f t="shared" ref="H30:H31" si="7">ROUND(G30*(1+$G$6),2)</f>
        <v>863.79</v>
      </c>
      <c r="I30" s="49">
        <f t="shared" ref="I30:I31" si="8">ROUND(F30*H30,2)</f>
        <v>1684.39</v>
      </c>
      <c r="J30" s="50">
        <f>ROUND(I30/$I$32,4)</f>
        <v>0.39369999999999999</v>
      </c>
      <c r="K30" s="29"/>
      <c r="L30" s="63"/>
      <c r="N30" s="32"/>
    </row>
    <row r="31" spans="1:14" ht="12.75" hidden="1" customHeight="1">
      <c r="A31" s="46" t="s">
        <v>44</v>
      </c>
      <c r="B31" s="67" t="s">
        <v>83</v>
      </c>
      <c r="C31" s="47" t="s">
        <v>27</v>
      </c>
      <c r="D31" s="69">
        <v>87246</v>
      </c>
      <c r="E31" s="69" t="s">
        <v>38</v>
      </c>
      <c r="F31" s="70">
        <f>(29.34+9.7)</f>
        <v>39.04</v>
      </c>
      <c r="G31" s="82">
        <v>54.92</v>
      </c>
      <c r="H31" s="48">
        <f t="shared" si="7"/>
        <v>66.44</v>
      </c>
      <c r="I31" s="49">
        <f t="shared" si="8"/>
        <v>2593.8200000000002</v>
      </c>
      <c r="J31" s="50">
        <f>ROUND(I31/$I$32,4)</f>
        <v>0.60629999999999995</v>
      </c>
      <c r="K31" s="29"/>
      <c r="L31" s="63"/>
      <c r="N31" s="32"/>
    </row>
    <row r="32" spans="1:14" ht="12.75" hidden="1" customHeight="1" thickBot="1">
      <c r="A32" s="173" t="s">
        <v>25</v>
      </c>
      <c r="B32" s="174"/>
      <c r="C32" s="174"/>
      <c r="D32" s="174"/>
      <c r="E32" s="174"/>
      <c r="F32" s="174"/>
      <c r="G32" s="174"/>
      <c r="H32" s="40">
        <f>A29</f>
        <v>3</v>
      </c>
      <c r="I32" s="45">
        <f>ROUND(SUM(I30:I31),2)</f>
        <v>4278.21</v>
      </c>
      <c r="J32" s="42">
        <f>ROUND(I32/$I$109,4)</f>
        <v>2.9700000000000001E-2</v>
      </c>
      <c r="K32" s="29"/>
      <c r="L32" s="63"/>
      <c r="N32" s="32"/>
    </row>
    <row r="33" spans="1:14" ht="12.75" customHeight="1" thickBot="1">
      <c r="A33" s="72"/>
      <c r="B33" s="71"/>
      <c r="C33" s="72"/>
      <c r="D33" s="90"/>
      <c r="E33" s="71"/>
      <c r="F33" s="71"/>
      <c r="G33" s="72"/>
      <c r="H33" s="73"/>
      <c r="I33" s="36"/>
      <c r="J33" s="44"/>
      <c r="K33" s="29"/>
      <c r="L33" s="63"/>
      <c r="N33" s="32"/>
    </row>
    <row r="34" spans="1:14" ht="12.75" customHeight="1">
      <c r="A34" s="68">
        <v>4</v>
      </c>
      <c r="B34" s="175" t="s">
        <v>31</v>
      </c>
      <c r="C34" s="176"/>
      <c r="D34" s="176"/>
      <c r="E34" s="176"/>
      <c r="F34" s="176"/>
      <c r="G34" s="176"/>
      <c r="H34" s="176"/>
      <c r="I34" s="176"/>
      <c r="J34" s="177"/>
      <c r="K34" s="29"/>
      <c r="L34" s="80"/>
      <c r="N34" s="32"/>
    </row>
    <row r="35" spans="1:14" ht="12.75" customHeight="1">
      <c r="A35" s="46" t="s">
        <v>45</v>
      </c>
      <c r="B35" s="67" t="s">
        <v>210</v>
      </c>
      <c r="C35" s="47" t="s">
        <v>27</v>
      </c>
      <c r="D35" s="69">
        <v>97622</v>
      </c>
      <c r="E35" s="69" t="s">
        <v>39</v>
      </c>
      <c r="F35" s="70">
        <v>3.04</v>
      </c>
      <c r="G35" s="82">
        <v>57.7</v>
      </c>
      <c r="H35" s="48">
        <f t="shared" ref="H35" si="9">ROUND(G35*(1+$G$6),2)</f>
        <v>69.81</v>
      </c>
      <c r="I35" s="49">
        <f t="shared" ref="I35" si="10">ROUND(F35*H35,2)</f>
        <v>212.22</v>
      </c>
      <c r="J35" s="50">
        <f>ROUND(I35/$I$37,4)</f>
        <v>9.3100000000000002E-2</v>
      </c>
      <c r="K35" s="29"/>
      <c r="L35" s="63"/>
      <c r="N35" s="32"/>
    </row>
    <row r="36" spans="1:14" ht="12.75" customHeight="1">
      <c r="A36" s="46" t="s">
        <v>209</v>
      </c>
      <c r="B36" s="67" t="s">
        <v>78</v>
      </c>
      <c r="C36" s="47" t="s">
        <v>27</v>
      </c>
      <c r="D36" s="69">
        <v>103322</v>
      </c>
      <c r="E36" s="69" t="s">
        <v>38</v>
      </c>
      <c r="F36" s="70">
        <v>30</v>
      </c>
      <c r="G36" s="82">
        <v>56.97</v>
      </c>
      <c r="H36" s="48">
        <f t="shared" ref="H36" si="11">ROUND(G36*(1+$G$6),2)</f>
        <v>68.92</v>
      </c>
      <c r="I36" s="49">
        <f t="shared" ref="I36" si="12">ROUND(F36*H36,2)</f>
        <v>2067.6</v>
      </c>
      <c r="J36" s="50">
        <f>ROUND(I36/$I$37,4)</f>
        <v>0.90690000000000004</v>
      </c>
      <c r="K36" s="29"/>
      <c r="L36" s="63"/>
      <c r="N36" s="32"/>
    </row>
    <row r="37" spans="1:14" ht="12.75" customHeight="1" thickBot="1">
      <c r="A37" s="173" t="s">
        <v>25</v>
      </c>
      <c r="B37" s="174"/>
      <c r="C37" s="174"/>
      <c r="D37" s="174"/>
      <c r="E37" s="174"/>
      <c r="F37" s="174"/>
      <c r="G37" s="174"/>
      <c r="H37" s="40">
        <f>A34</f>
        <v>4</v>
      </c>
      <c r="I37" s="45">
        <f>ROUND(SUM(I35:I36),2)</f>
        <v>2279.8200000000002</v>
      </c>
      <c r="J37" s="42">
        <f>ROUND(I37/$I$109,4)</f>
        <v>1.5800000000000002E-2</v>
      </c>
      <c r="K37" s="29"/>
      <c r="L37" s="63"/>
      <c r="N37" s="32"/>
    </row>
    <row r="38" spans="1:14" ht="12.75" customHeight="1" thickBot="1">
      <c r="A38" s="72"/>
      <c r="B38" s="71"/>
      <c r="C38" s="72"/>
      <c r="D38" s="90"/>
      <c r="E38" s="71"/>
      <c r="F38" s="71"/>
      <c r="G38" s="72"/>
      <c r="H38" s="73"/>
      <c r="I38" s="36"/>
      <c r="J38" s="44"/>
      <c r="K38" s="29"/>
      <c r="L38" s="63"/>
      <c r="N38" s="32"/>
    </row>
    <row r="39" spans="1:14" ht="12.75" customHeight="1">
      <c r="A39" s="68">
        <v>5</v>
      </c>
      <c r="B39" s="175" t="s">
        <v>32</v>
      </c>
      <c r="C39" s="176"/>
      <c r="D39" s="176"/>
      <c r="E39" s="176"/>
      <c r="F39" s="176"/>
      <c r="G39" s="176"/>
      <c r="H39" s="176"/>
      <c r="I39" s="176"/>
      <c r="J39" s="177"/>
      <c r="K39" s="29"/>
      <c r="L39" s="63"/>
      <c r="N39" s="32"/>
    </row>
    <row r="40" spans="1:14" ht="12.75" customHeight="1">
      <c r="A40" s="46" t="s">
        <v>46</v>
      </c>
      <c r="B40" s="67" t="s">
        <v>64</v>
      </c>
      <c r="C40" s="47" t="s">
        <v>27</v>
      </c>
      <c r="D40" s="69">
        <v>87878</v>
      </c>
      <c r="E40" s="69" t="s">
        <v>38</v>
      </c>
      <c r="F40" s="70">
        <f>51.08+61.6+164.22+110</f>
        <v>386.9</v>
      </c>
      <c r="G40" s="82">
        <v>4.8099999999999996</v>
      </c>
      <c r="H40" s="48">
        <f t="shared" ref="H40:H44" si="13">ROUND(G40*(1+$G$6),2)</f>
        <v>5.82</v>
      </c>
      <c r="I40" s="49">
        <f t="shared" ref="I40:I44" si="14">ROUND(F40*H40,2)</f>
        <v>2251.7600000000002</v>
      </c>
      <c r="J40" s="50">
        <f>ROUND(I40/$I$45,4)</f>
        <v>4.2299999999999997E-2</v>
      </c>
      <c r="K40" s="29"/>
      <c r="L40" s="63"/>
      <c r="N40" s="32"/>
    </row>
    <row r="41" spans="1:14" ht="12.75" customHeight="1">
      <c r="A41" s="46" t="s">
        <v>47</v>
      </c>
      <c r="B41" s="67" t="s">
        <v>60</v>
      </c>
      <c r="C41" s="47" t="s">
        <v>27</v>
      </c>
      <c r="D41" s="69">
        <v>87775</v>
      </c>
      <c r="E41" s="69" t="s">
        <v>38</v>
      </c>
      <c r="F41" s="70">
        <f>F40</f>
        <v>386.9</v>
      </c>
      <c r="G41" s="82">
        <v>53.02</v>
      </c>
      <c r="H41" s="48">
        <f t="shared" si="13"/>
        <v>64.14</v>
      </c>
      <c r="I41" s="49">
        <f t="shared" si="14"/>
        <v>24815.77</v>
      </c>
      <c r="J41" s="50">
        <f t="shared" ref="J41:J44" si="15">ROUND(I41/$I$45,4)</f>
        <v>0.46579999999999999</v>
      </c>
      <c r="K41" s="29"/>
      <c r="L41" s="63"/>
      <c r="N41" s="32"/>
    </row>
    <row r="42" spans="1:14" ht="12.75" customHeight="1">
      <c r="A42" s="46" t="s">
        <v>48</v>
      </c>
      <c r="B42" s="67" t="s">
        <v>144</v>
      </c>
      <c r="C42" s="47" t="s">
        <v>27</v>
      </c>
      <c r="D42" s="69">
        <v>87528</v>
      </c>
      <c r="E42" s="69" t="s">
        <v>38</v>
      </c>
      <c r="F42" s="70">
        <v>58</v>
      </c>
      <c r="G42" s="82">
        <v>44.3</v>
      </c>
      <c r="H42" s="48">
        <f t="shared" ref="H42" si="16">ROUND(G42*(1+$G$6),2)</f>
        <v>53.59</v>
      </c>
      <c r="I42" s="49">
        <f t="shared" ref="I42" si="17">ROUND(F42*H42,2)</f>
        <v>3108.22</v>
      </c>
      <c r="J42" s="50">
        <f t="shared" ref="J42" si="18">ROUND(I42/$I$45,4)</f>
        <v>5.8299999999999998E-2</v>
      </c>
      <c r="K42" s="29"/>
      <c r="L42" s="63"/>
      <c r="N42" s="32"/>
    </row>
    <row r="43" spans="1:14" ht="12.75" customHeight="1">
      <c r="A43" s="46" t="s">
        <v>49</v>
      </c>
      <c r="B43" s="67" t="s">
        <v>123</v>
      </c>
      <c r="C43" s="47" t="s">
        <v>27</v>
      </c>
      <c r="D43" s="69">
        <v>87530</v>
      </c>
      <c r="E43" s="69" t="s">
        <v>38</v>
      </c>
      <c r="F43" s="70">
        <f>F41</f>
        <v>386.9</v>
      </c>
      <c r="G43" s="82">
        <v>40.479999999999997</v>
      </c>
      <c r="H43" s="48">
        <f t="shared" si="13"/>
        <v>48.97</v>
      </c>
      <c r="I43" s="49">
        <f t="shared" si="14"/>
        <v>18946.490000000002</v>
      </c>
      <c r="J43" s="50">
        <f t="shared" si="15"/>
        <v>0.35560000000000003</v>
      </c>
      <c r="K43" s="29"/>
      <c r="L43" s="63"/>
      <c r="N43" s="32"/>
    </row>
    <row r="44" spans="1:14" ht="12.75" customHeight="1">
      <c r="A44" s="46" t="s">
        <v>145</v>
      </c>
      <c r="B44" s="67" t="s">
        <v>84</v>
      </c>
      <c r="C44" s="47" t="s">
        <v>27</v>
      </c>
      <c r="D44" s="69">
        <v>87265</v>
      </c>
      <c r="E44" s="69" t="s">
        <v>38</v>
      </c>
      <c r="F44" s="70">
        <v>58</v>
      </c>
      <c r="G44" s="82">
        <v>59.26</v>
      </c>
      <c r="H44" s="48">
        <f t="shared" si="13"/>
        <v>71.69</v>
      </c>
      <c r="I44" s="49">
        <f t="shared" si="14"/>
        <v>4158.0200000000004</v>
      </c>
      <c r="J44" s="50">
        <f t="shared" si="15"/>
        <v>7.8E-2</v>
      </c>
      <c r="K44" s="29"/>
      <c r="L44" s="63"/>
      <c r="N44" s="32"/>
    </row>
    <row r="45" spans="1:14" ht="12.75" customHeight="1" thickBot="1">
      <c r="A45" s="173" t="s">
        <v>25</v>
      </c>
      <c r="B45" s="174"/>
      <c r="C45" s="174"/>
      <c r="D45" s="174"/>
      <c r="E45" s="174"/>
      <c r="F45" s="174"/>
      <c r="G45" s="174"/>
      <c r="H45" s="40">
        <f>A39</f>
        <v>5</v>
      </c>
      <c r="I45" s="45">
        <f>ROUND(SUM(I40:I44),2)</f>
        <v>53280.26</v>
      </c>
      <c r="J45" s="42">
        <f>ROUND(I45/$I$109,4)</f>
        <v>0.36990000000000001</v>
      </c>
      <c r="K45" s="29"/>
      <c r="L45" s="63"/>
      <c r="N45" s="32"/>
    </row>
    <row r="46" spans="1:14" ht="12.75" customHeight="1" thickBot="1">
      <c r="A46" s="72"/>
      <c r="B46" s="71"/>
      <c r="C46" s="72"/>
      <c r="D46" s="90"/>
      <c r="E46" s="71"/>
      <c r="F46" s="71"/>
      <c r="G46" s="72"/>
      <c r="H46" s="73"/>
      <c r="I46" s="36"/>
      <c r="J46" s="44"/>
      <c r="K46" s="29"/>
      <c r="L46" s="63"/>
      <c r="N46" s="32"/>
    </row>
    <row r="47" spans="1:14" ht="12.75" customHeight="1">
      <c r="A47" s="68">
        <v>6</v>
      </c>
      <c r="B47" s="175" t="s">
        <v>33</v>
      </c>
      <c r="C47" s="176"/>
      <c r="D47" s="176"/>
      <c r="E47" s="176"/>
      <c r="F47" s="176"/>
      <c r="G47" s="176"/>
      <c r="H47" s="176"/>
      <c r="I47" s="176"/>
      <c r="J47" s="177"/>
      <c r="K47" s="29"/>
      <c r="L47" s="63"/>
      <c r="N47" s="32"/>
    </row>
    <row r="48" spans="1:14" ht="12.75" customHeight="1">
      <c r="A48" s="46" t="s">
        <v>50</v>
      </c>
      <c r="B48" s="67" t="s">
        <v>146</v>
      </c>
      <c r="C48" s="47" t="s">
        <v>27</v>
      </c>
      <c r="D48" s="69">
        <v>88421</v>
      </c>
      <c r="E48" s="69" t="s">
        <v>38</v>
      </c>
      <c r="F48" s="70">
        <f>31.38+51.08+73.5+30.98+56.66+33.3</f>
        <v>276.89999999999998</v>
      </c>
      <c r="G48" s="82">
        <v>27.25</v>
      </c>
      <c r="H48" s="48">
        <f t="shared" ref="H48:H50" si="19">ROUND(G48*(1+$G$6),2)</f>
        <v>32.97</v>
      </c>
      <c r="I48" s="49">
        <f t="shared" ref="I48:I50" si="20">ROUND(F48*H48,2)</f>
        <v>9129.39</v>
      </c>
      <c r="J48" s="50">
        <f t="shared" ref="J48:J53" si="21">ROUND(I48/$I$54,4)</f>
        <v>0.52229999999999999</v>
      </c>
      <c r="K48" s="29"/>
      <c r="L48" s="63"/>
      <c r="N48" s="32"/>
    </row>
    <row r="49" spans="1:14" ht="12.75" customHeight="1">
      <c r="A49" s="46" t="s">
        <v>51</v>
      </c>
      <c r="B49" s="67" t="s">
        <v>148</v>
      </c>
      <c r="C49" s="47" t="s">
        <v>27</v>
      </c>
      <c r="D49" s="69">
        <v>88423</v>
      </c>
      <c r="E49" s="69" t="s">
        <v>38</v>
      </c>
      <c r="F49" s="70">
        <f>46+64</f>
        <v>110</v>
      </c>
      <c r="G49" s="82">
        <v>21.05</v>
      </c>
      <c r="H49" s="48">
        <f t="shared" ref="H49" si="22">ROUND(G49*(1+$G$6),2)</f>
        <v>25.47</v>
      </c>
      <c r="I49" s="49">
        <f t="shared" ref="I49" si="23">ROUND(F49*H49,2)</f>
        <v>2801.7</v>
      </c>
      <c r="J49" s="50">
        <f t="shared" si="21"/>
        <v>0.1603</v>
      </c>
      <c r="K49" s="29"/>
      <c r="L49" s="63"/>
      <c r="N49" s="32"/>
    </row>
    <row r="50" spans="1:14" s="88" customFormat="1" ht="12.75" customHeight="1">
      <c r="A50" s="46" t="s">
        <v>87</v>
      </c>
      <c r="B50" s="67" t="s">
        <v>34</v>
      </c>
      <c r="C50" s="81" t="s">
        <v>27</v>
      </c>
      <c r="D50" s="69">
        <v>100741</v>
      </c>
      <c r="E50" s="69" t="s">
        <v>38</v>
      </c>
      <c r="F50" s="70">
        <v>20</v>
      </c>
      <c r="G50" s="82">
        <v>25.36</v>
      </c>
      <c r="H50" s="83">
        <f t="shared" si="19"/>
        <v>30.68</v>
      </c>
      <c r="I50" s="84">
        <f t="shared" si="20"/>
        <v>613.6</v>
      </c>
      <c r="J50" s="85">
        <f t="shared" si="21"/>
        <v>3.5099999999999999E-2</v>
      </c>
      <c r="K50" s="86"/>
      <c r="L50" s="75"/>
      <c r="N50" s="89"/>
    </row>
    <row r="51" spans="1:14" s="88" customFormat="1" ht="12.75" customHeight="1">
      <c r="A51" s="46" t="s">
        <v>115</v>
      </c>
      <c r="B51" s="96" t="s">
        <v>152</v>
      </c>
      <c r="C51" s="81" t="s">
        <v>27</v>
      </c>
      <c r="D51" s="69">
        <v>102218</v>
      </c>
      <c r="E51" s="69" t="s">
        <v>38</v>
      </c>
      <c r="F51" s="70">
        <f>F60+33</f>
        <v>189.5</v>
      </c>
      <c r="G51" s="82">
        <v>16.559999999999999</v>
      </c>
      <c r="H51" s="83">
        <f t="shared" ref="H51" si="24">ROUND(G51*(1+$G$6),2)</f>
        <v>20.03</v>
      </c>
      <c r="I51" s="84">
        <f t="shared" ref="I51" si="25">ROUND(F51*H51,2)</f>
        <v>3795.69</v>
      </c>
      <c r="J51" s="85">
        <f t="shared" si="21"/>
        <v>0.2172</v>
      </c>
      <c r="K51" s="86"/>
      <c r="L51" s="75"/>
      <c r="N51" s="89"/>
    </row>
    <row r="52" spans="1:14" s="88" customFormat="1" ht="12.75" customHeight="1">
      <c r="A52" s="46" t="s">
        <v>147</v>
      </c>
      <c r="B52" s="96" t="s">
        <v>154</v>
      </c>
      <c r="C52" s="81" t="s">
        <v>27</v>
      </c>
      <c r="D52" s="69">
        <v>102217</v>
      </c>
      <c r="E52" s="69" t="s">
        <v>38</v>
      </c>
      <c r="F52" s="70">
        <v>35</v>
      </c>
      <c r="G52" s="82">
        <v>17.48</v>
      </c>
      <c r="H52" s="83">
        <f t="shared" ref="H52" si="26">ROUND(G52*(1+$G$6),2)</f>
        <v>21.15</v>
      </c>
      <c r="I52" s="84">
        <f t="shared" ref="I52" si="27">ROUND(F52*H52,2)</f>
        <v>740.25</v>
      </c>
      <c r="J52" s="85">
        <f t="shared" si="21"/>
        <v>4.24E-2</v>
      </c>
      <c r="K52" s="86"/>
      <c r="L52" s="75"/>
      <c r="N52" s="89"/>
    </row>
    <row r="53" spans="1:14" s="88" customFormat="1" ht="12.75" customHeight="1">
      <c r="A53" s="46" t="s">
        <v>153</v>
      </c>
      <c r="B53" s="96" t="s">
        <v>127</v>
      </c>
      <c r="C53" s="81" t="s">
        <v>27</v>
      </c>
      <c r="D53" s="69">
        <v>88411</v>
      </c>
      <c r="E53" s="69" t="s">
        <v>38</v>
      </c>
      <c r="F53" s="70">
        <f>F49</f>
        <v>110</v>
      </c>
      <c r="G53" s="82">
        <v>2.99</v>
      </c>
      <c r="H53" s="83">
        <f t="shared" ref="H53" si="28">ROUND(G53*(1+$G$6),2)</f>
        <v>3.62</v>
      </c>
      <c r="I53" s="84">
        <f t="shared" ref="I53" si="29">ROUND(F53*H53,2)</f>
        <v>398.2</v>
      </c>
      <c r="J53" s="85">
        <f t="shared" si="21"/>
        <v>2.2800000000000001E-2</v>
      </c>
      <c r="K53" s="86"/>
      <c r="L53" s="75"/>
      <c r="N53" s="89"/>
    </row>
    <row r="54" spans="1:14" ht="12.75" customHeight="1" thickBot="1">
      <c r="A54" s="173" t="s">
        <v>25</v>
      </c>
      <c r="B54" s="174"/>
      <c r="C54" s="174"/>
      <c r="D54" s="174"/>
      <c r="E54" s="174"/>
      <c r="F54" s="174"/>
      <c r="G54" s="174"/>
      <c r="H54" s="40">
        <f>A47</f>
        <v>6</v>
      </c>
      <c r="I54" s="45">
        <f>ROUND(SUM(I48:I53),2)</f>
        <v>17478.830000000002</v>
      </c>
      <c r="J54" s="42">
        <f>ROUND(I54/$I$109,4)</f>
        <v>0.12139999999999999</v>
      </c>
      <c r="K54" s="29"/>
      <c r="L54" s="63"/>
      <c r="N54" s="32"/>
    </row>
    <row r="55" spans="1:14" ht="12.75" customHeight="1" thickBot="1">
      <c r="A55" s="72"/>
      <c r="B55" s="71"/>
      <c r="C55" s="72"/>
      <c r="D55" s="90"/>
      <c r="E55" s="71"/>
      <c r="F55" s="71"/>
      <c r="G55" s="72"/>
      <c r="H55" s="73"/>
      <c r="I55" s="36"/>
      <c r="J55" s="44"/>
      <c r="K55" s="29"/>
      <c r="L55" s="63"/>
      <c r="N55" s="32"/>
    </row>
    <row r="56" spans="1:14" ht="12.75" customHeight="1">
      <c r="A56" s="68">
        <v>7</v>
      </c>
      <c r="B56" s="175" t="s">
        <v>35</v>
      </c>
      <c r="C56" s="176"/>
      <c r="D56" s="176"/>
      <c r="E56" s="176"/>
      <c r="F56" s="176"/>
      <c r="G56" s="176"/>
      <c r="H56" s="176"/>
      <c r="I56" s="176"/>
      <c r="J56" s="177"/>
      <c r="K56" s="29"/>
      <c r="L56" s="63"/>
      <c r="N56" s="32"/>
    </row>
    <row r="57" spans="1:14" ht="12.75" customHeight="1">
      <c r="A57" s="46" t="s">
        <v>52</v>
      </c>
      <c r="B57" s="67" t="s">
        <v>79</v>
      </c>
      <c r="C57" s="47" t="s">
        <v>27</v>
      </c>
      <c r="D57" s="69">
        <v>92543</v>
      </c>
      <c r="E57" s="69" t="s">
        <v>38</v>
      </c>
      <c r="F57" s="70">
        <f>135+7.5</f>
        <v>142.5</v>
      </c>
      <c r="G57" s="82">
        <v>16.100000000000001</v>
      </c>
      <c r="H57" s="48">
        <f t="shared" ref="H57:H60" si="30">ROUND(G57*(1+$G$6),2)</f>
        <v>19.48</v>
      </c>
      <c r="I57" s="49">
        <f t="shared" ref="I57:I58" si="31">ROUND(F57*H57,2)</f>
        <v>2775.9</v>
      </c>
      <c r="J57" s="50">
        <f>ROUND(I57/$I$62,4)</f>
        <v>6.8199999999999997E-2</v>
      </c>
      <c r="K57" s="29"/>
      <c r="L57" s="63"/>
      <c r="N57" s="32"/>
    </row>
    <row r="58" spans="1:14" ht="12.75" customHeight="1">
      <c r="A58" s="46" t="s">
        <v>53</v>
      </c>
      <c r="B58" s="67" t="s">
        <v>124</v>
      </c>
      <c r="C58" s="47" t="s">
        <v>27</v>
      </c>
      <c r="D58" s="69">
        <v>94210</v>
      </c>
      <c r="E58" s="69" t="s">
        <v>38</v>
      </c>
      <c r="F58" s="70">
        <f>135+7.5</f>
        <v>142.5</v>
      </c>
      <c r="G58" s="82">
        <v>53.22</v>
      </c>
      <c r="H58" s="48">
        <f t="shared" si="30"/>
        <v>64.39</v>
      </c>
      <c r="I58" s="49">
        <f t="shared" si="31"/>
        <v>9175.58</v>
      </c>
      <c r="J58" s="50">
        <f>ROUND(I58/$I$62,4)</f>
        <v>0.22550000000000001</v>
      </c>
      <c r="K58" s="29"/>
      <c r="L58" s="63"/>
      <c r="N58" s="32"/>
    </row>
    <row r="59" spans="1:14" ht="12.75" customHeight="1">
      <c r="A59" s="106" t="s">
        <v>70</v>
      </c>
      <c r="B59" s="107" t="s">
        <v>116</v>
      </c>
      <c r="C59" s="47" t="s">
        <v>27</v>
      </c>
      <c r="D59" s="69">
        <v>100325</v>
      </c>
      <c r="E59" s="69" t="s">
        <v>61</v>
      </c>
      <c r="F59" s="70">
        <f>13+12</f>
        <v>25</v>
      </c>
      <c r="G59" s="82">
        <v>93.76</v>
      </c>
      <c r="H59" s="48">
        <f t="shared" ref="H59" si="32">ROUND(G59*(1+$G$6),2)</f>
        <v>113.43</v>
      </c>
      <c r="I59" s="49">
        <f t="shared" ref="I59" si="33">ROUND(F59*H59,2)</f>
        <v>2835.75</v>
      </c>
      <c r="J59" s="50">
        <f>ROUND(I59/$I$62,4)</f>
        <v>6.9699999999999998E-2</v>
      </c>
      <c r="K59" s="29"/>
      <c r="L59" s="63"/>
      <c r="N59" s="32"/>
    </row>
    <row r="60" spans="1:14" ht="12.75" customHeight="1">
      <c r="A60" s="46" t="s">
        <v>103</v>
      </c>
      <c r="B60" s="67" t="s">
        <v>149</v>
      </c>
      <c r="C60" s="47" t="s">
        <v>27</v>
      </c>
      <c r="D60" s="69">
        <v>96112</v>
      </c>
      <c r="E60" s="69" t="s">
        <v>38</v>
      </c>
      <c r="F60" s="70">
        <f>25+49+20+17+9+7+22+7.5</f>
        <v>156.5</v>
      </c>
      <c r="G60" s="82">
        <v>114.2</v>
      </c>
      <c r="H60" s="48">
        <f t="shared" si="30"/>
        <v>138.16</v>
      </c>
      <c r="I60" s="49">
        <f t="shared" ref="I60" si="34">ROUND(F60*H60,2)</f>
        <v>21622.04</v>
      </c>
      <c r="J60" s="50">
        <f>ROUND(I60/$I$62,4)</f>
        <v>0.53129999999999999</v>
      </c>
      <c r="K60" s="29"/>
      <c r="L60" s="63"/>
      <c r="N60" s="32"/>
    </row>
    <row r="61" spans="1:14" ht="12.75" customHeight="1">
      <c r="A61" s="46" t="s">
        <v>103</v>
      </c>
      <c r="B61" s="67" t="s">
        <v>155</v>
      </c>
      <c r="C61" s="47" t="s">
        <v>27</v>
      </c>
      <c r="D61" s="69">
        <v>96122</v>
      </c>
      <c r="E61" s="69" t="s">
        <v>61</v>
      </c>
      <c r="F61" s="70">
        <f>28+19+21+12+22+7.5</f>
        <v>109.5</v>
      </c>
      <c r="G61" s="82">
        <v>32.36</v>
      </c>
      <c r="H61" s="48">
        <f t="shared" ref="H61" si="35">ROUND(G61*(1+$G$6),2)</f>
        <v>39.15</v>
      </c>
      <c r="I61" s="49">
        <f t="shared" ref="I61" si="36">ROUND(F61*H61,2)</f>
        <v>4286.93</v>
      </c>
      <c r="J61" s="50">
        <f>ROUND(I61/$I$62,4)</f>
        <v>0.1053</v>
      </c>
      <c r="K61" s="29"/>
      <c r="L61" s="63"/>
      <c r="N61" s="32"/>
    </row>
    <row r="62" spans="1:14" ht="12.75" customHeight="1" thickBot="1">
      <c r="A62" s="173" t="s">
        <v>25</v>
      </c>
      <c r="B62" s="174"/>
      <c r="C62" s="174"/>
      <c r="D62" s="174"/>
      <c r="E62" s="174"/>
      <c r="F62" s="174"/>
      <c r="G62" s="174"/>
      <c r="H62" s="40">
        <f>A56</f>
        <v>7</v>
      </c>
      <c r="I62" s="45">
        <f>ROUND(SUM(I57:I61),2)</f>
        <v>40696.199999999997</v>
      </c>
      <c r="J62" s="42">
        <f>ROUND(I62/$I$109,4)</f>
        <v>0.28260000000000002</v>
      </c>
      <c r="K62" s="29"/>
      <c r="L62" s="63"/>
      <c r="N62" s="32"/>
    </row>
    <row r="63" spans="1:14" ht="12.75" customHeight="1" thickBot="1">
      <c r="A63" s="72"/>
      <c r="B63" s="71"/>
      <c r="C63" s="72"/>
      <c r="D63" s="90"/>
      <c r="E63" s="71"/>
      <c r="F63" s="71"/>
      <c r="G63" s="72"/>
      <c r="H63" s="73"/>
      <c r="I63" s="36"/>
      <c r="J63" s="44"/>
      <c r="K63" s="29"/>
      <c r="L63" s="63"/>
      <c r="N63" s="32"/>
    </row>
    <row r="64" spans="1:14" ht="12.75" customHeight="1">
      <c r="A64" s="68">
        <v>8</v>
      </c>
      <c r="B64" s="175" t="s">
        <v>36</v>
      </c>
      <c r="C64" s="176"/>
      <c r="D64" s="176"/>
      <c r="E64" s="176"/>
      <c r="F64" s="176"/>
      <c r="G64" s="176"/>
      <c r="H64" s="176"/>
      <c r="I64" s="176"/>
      <c r="J64" s="177"/>
      <c r="K64" s="29"/>
      <c r="L64" s="63"/>
      <c r="N64" s="32"/>
    </row>
    <row r="65" spans="1:14" ht="12.75" customHeight="1">
      <c r="A65" s="46" t="s">
        <v>54</v>
      </c>
      <c r="B65" s="67" t="s">
        <v>63</v>
      </c>
      <c r="C65" s="47" t="s">
        <v>27</v>
      </c>
      <c r="D65" s="69">
        <v>94559</v>
      </c>
      <c r="E65" s="69" t="s">
        <v>38</v>
      </c>
      <c r="F65" s="70">
        <v>2</v>
      </c>
      <c r="G65" s="82">
        <v>662.27</v>
      </c>
      <c r="H65" s="48">
        <f t="shared" ref="H65:H66" si="37">ROUND(G65*(1+$G$6),2)</f>
        <v>801.21</v>
      </c>
      <c r="I65" s="49">
        <f t="shared" ref="I65:I70" si="38">ROUND(F65*H65,2)</f>
        <v>1602.42</v>
      </c>
      <c r="J65" s="50">
        <f t="shared" ref="J65:J70" si="39">ROUND(I65/$I$72,4)</f>
        <v>0.13880000000000001</v>
      </c>
      <c r="K65" s="29"/>
      <c r="L65" s="63"/>
      <c r="N65" s="32"/>
    </row>
    <row r="66" spans="1:14" ht="12.75" customHeight="1">
      <c r="A66" s="46" t="s">
        <v>65</v>
      </c>
      <c r="B66" s="67" t="s">
        <v>125</v>
      </c>
      <c r="C66" s="47" t="s">
        <v>27</v>
      </c>
      <c r="D66" s="69">
        <v>102152</v>
      </c>
      <c r="E66" s="69" t="s">
        <v>38</v>
      </c>
      <c r="F66" s="70">
        <v>10</v>
      </c>
      <c r="G66" s="82">
        <v>153</v>
      </c>
      <c r="H66" s="48">
        <f t="shared" si="37"/>
        <v>185.1</v>
      </c>
      <c r="I66" s="49">
        <f t="shared" si="38"/>
        <v>1851</v>
      </c>
      <c r="J66" s="50">
        <f t="shared" si="39"/>
        <v>0.1603</v>
      </c>
      <c r="K66" s="29"/>
      <c r="L66" s="63"/>
      <c r="N66" s="32"/>
    </row>
    <row r="67" spans="1:14" s="88" customFormat="1" ht="12.75" customHeight="1">
      <c r="A67" s="95" t="s">
        <v>80</v>
      </c>
      <c r="B67" s="67" t="s">
        <v>128</v>
      </c>
      <c r="C67" s="81" t="s">
        <v>27</v>
      </c>
      <c r="D67" s="69">
        <v>90820</v>
      </c>
      <c r="E67" s="69" t="s">
        <v>40</v>
      </c>
      <c r="F67" s="70">
        <v>5</v>
      </c>
      <c r="G67" s="82">
        <v>425.54</v>
      </c>
      <c r="H67" s="83">
        <f t="shared" ref="H67" si="40">ROUND(G67*(1+$G$6),2)</f>
        <v>514.82000000000005</v>
      </c>
      <c r="I67" s="84">
        <f t="shared" si="38"/>
        <v>2574.1</v>
      </c>
      <c r="J67" s="85">
        <f t="shared" si="39"/>
        <v>0.22289999999999999</v>
      </c>
      <c r="K67" s="86"/>
      <c r="L67" s="75"/>
      <c r="N67" s="89"/>
    </row>
    <row r="68" spans="1:14" s="88" customFormat="1" ht="12.75" customHeight="1">
      <c r="A68" s="95" t="s">
        <v>88</v>
      </c>
      <c r="B68" s="67" t="s">
        <v>129</v>
      </c>
      <c r="C68" s="81" t="s">
        <v>27</v>
      </c>
      <c r="D68" s="69">
        <v>90825</v>
      </c>
      <c r="E68" s="69" t="s">
        <v>40</v>
      </c>
      <c r="F68" s="70">
        <v>4</v>
      </c>
      <c r="G68" s="82">
        <v>914.41</v>
      </c>
      <c r="H68" s="83">
        <f t="shared" ref="H68" si="41">ROUND(G68*(1+$G$6),2)</f>
        <v>1106.25</v>
      </c>
      <c r="I68" s="84">
        <f t="shared" si="38"/>
        <v>4425</v>
      </c>
      <c r="J68" s="85">
        <f t="shared" si="39"/>
        <v>0.38319999999999999</v>
      </c>
      <c r="K68" s="86"/>
      <c r="L68" s="75"/>
      <c r="N68" s="89"/>
    </row>
    <row r="69" spans="1:14" s="88" customFormat="1" ht="12.75" customHeight="1">
      <c r="A69" s="95" t="s">
        <v>157</v>
      </c>
      <c r="B69" s="122" t="s">
        <v>156</v>
      </c>
      <c r="C69" s="81" t="s">
        <v>27</v>
      </c>
      <c r="D69" s="69">
        <v>91304</v>
      </c>
      <c r="E69" s="69" t="s">
        <v>40</v>
      </c>
      <c r="F69" s="70">
        <v>3</v>
      </c>
      <c r="G69" s="82">
        <v>112.58</v>
      </c>
      <c r="H69" s="83">
        <f t="shared" ref="H69" si="42">ROUND(G69*(1+$G$6),2)</f>
        <v>136.19999999999999</v>
      </c>
      <c r="I69" s="84">
        <f t="shared" si="38"/>
        <v>408.6</v>
      </c>
      <c r="J69" s="85">
        <f t="shared" si="39"/>
        <v>3.5400000000000001E-2</v>
      </c>
      <c r="K69" s="86"/>
      <c r="L69" s="75"/>
      <c r="N69" s="89"/>
    </row>
    <row r="70" spans="1:14" s="88" customFormat="1" ht="12.75" customHeight="1">
      <c r="A70" s="95" t="s">
        <v>158</v>
      </c>
      <c r="B70" s="67" t="s">
        <v>159</v>
      </c>
      <c r="C70" s="81" t="s">
        <v>27</v>
      </c>
      <c r="D70" s="69">
        <v>91305</v>
      </c>
      <c r="E70" s="69" t="s">
        <v>40</v>
      </c>
      <c r="F70" s="70">
        <v>5</v>
      </c>
      <c r="G70" s="82">
        <v>113.24</v>
      </c>
      <c r="H70" s="83">
        <f t="shared" ref="H70" si="43">ROUND(G70*(1+$G$6),2)</f>
        <v>137</v>
      </c>
      <c r="I70" s="84">
        <f t="shared" si="38"/>
        <v>685</v>
      </c>
      <c r="J70" s="85">
        <f t="shared" si="39"/>
        <v>5.9299999999999999E-2</v>
      </c>
      <c r="K70" s="86"/>
      <c r="L70" s="75"/>
      <c r="N70" s="89"/>
    </row>
    <row r="71" spans="1:14" s="88" customFormat="1" ht="12.75" customHeight="1">
      <c r="A71" s="95"/>
      <c r="B71" s="96"/>
      <c r="C71" s="117"/>
      <c r="D71" s="97"/>
      <c r="E71" s="97"/>
      <c r="F71" s="98"/>
      <c r="G71" s="118"/>
      <c r="H71" s="119"/>
      <c r="I71" s="120"/>
      <c r="J71" s="121"/>
      <c r="K71" s="86"/>
      <c r="L71" s="75"/>
      <c r="N71" s="89"/>
    </row>
    <row r="72" spans="1:14" ht="12.75" customHeight="1" thickBot="1">
      <c r="A72" s="173" t="s">
        <v>25</v>
      </c>
      <c r="B72" s="174"/>
      <c r="C72" s="174"/>
      <c r="D72" s="174"/>
      <c r="E72" s="174"/>
      <c r="F72" s="174"/>
      <c r="G72" s="174"/>
      <c r="H72" s="40">
        <f>A64</f>
        <v>8</v>
      </c>
      <c r="I72" s="45">
        <f>ROUND(SUM(I65:I70),2)</f>
        <v>11546.12</v>
      </c>
      <c r="J72" s="42">
        <f>ROUND(I72/$I$109,4)</f>
        <v>8.0199999999999994E-2</v>
      </c>
      <c r="K72" s="29"/>
      <c r="L72" s="63"/>
      <c r="N72" s="32"/>
    </row>
    <row r="73" spans="1:14" ht="12.75" customHeight="1" thickBot="1">
      <c r="A73" s="72"/>
      <c r="B73" s="71"/>
      <c r="C73" s="72"/>
      <c r="D73" s="90"/>
      <c r="E73" s="71"/>
      <c r="F73" s="71"/>
      <c r="G73" s="72"/>
      <c r="H73" s="73"/>
      <c r="I73" s="36"/>
      <c r="J73" s="44"/>
      <c r="K73" s="29"/>
      <c r="L73" s="63"/>
      <c r="N73" s="32"/>
    </row>
    <row r="74" spans="1:14" ht="12.75" customHeight="1">
      <c r="A74" s="68">
        <v>9</v>
      </c>
      <c r="B74" s="175" t="s">
        <v>41</v>
      </c>
      <c r="C74" s="176"/>
      <c r="D74" s="176"/>
      <c r="E74" s="176"/>
      <c r="F74" s="176"/>
      <c r="G74" s="176"/>
      <c r="H74" s="176"/>
      <c r="I74" s="176"/>
      <c r="J74" s="177"/>
      <c r="K74" s="29"/>
      <c r="L74" s="63"/>
      <c r="N74" s="32"/>
    </row>
    <row r="75" spans="1:14" ht="12.75" customHeight="1">
      <c r="A75" s="109" t="s">
        <v>55</v>
      </c>
      <c r="B75" s="76" t="s">
        <v>85</v>
      </c>
      <c r="C75" s="108" t="s">
        <v>27</v>
      </c>
      <c r="D75" s="69" t="s">
        <v>167</v>
      </c>
      <c r="E75" s="69" t="s">
        <v>61</v>
      </c>
      <c r="F75" s="70">
        <v>20</v>
      </c>
      <c r="G75" s="82">
        <f>COMP!J35</f>
        <v>53.82</v>
      </c>
      <c r="H75" s="48">
        <f t="shared" ref="H75:H80" si="44">ROUND(G75*(1+$G$6),2)</f>
        <v>65.11</v>
      </c>
      <c r="I75" s="49">
        <f t="shared" ref="I75" si="45">ROUND(F75*H75,2)</f>
        <v>1302.2</v>
      </c>
      <c r="J75" s="50">
        <f>ROUND(I75/$I$81,4)</f>
        <v>0.68730000000000002</v>
      </c>
      <c r="K75" s="29"/>
      <c r="L75" s="63"/>
      <c r="N75" s="32"/>
    </row>
    <row r="76" spans="1:14" ht="12.75" customHeight="1">
      <c r="A76" s="109" t="s">
        <v>81</v>
      </c>
      <c r="B76" s="110" t="s">
        <v>104</v>
      </c>
      <c r="C76" s="108" t="s">
        <v>27</v>
      </c>
      <c r="D76" s="69">
        <v>89362</v>
      </c>
      <c r="E76" s="69" t="s">
        <v>40</v>
      </c>
      <c r="F76" s="70">
        <v>15</v>
      </c>
      <c r="G76" s="82">
        <v>9.85</v>
      </c>
      <c r="H76" s="48">
        <f t="shared" ref="H76:H78" si="46">ROUND(G76*(1+$G$6),2)</f>
        <v>11.92</v>
      </c>
      <c r="I76" s="49">
        <f t="shared" ref="I76:I78" si="47">ROUND(F76*H76,2)</f>
        <v>178.8</v>
      </c>
      <c r="J76" s="50">
        <f>ROUND(I76/$I$81,4)</f>
        <v>9.4399999999999998E-2</v>
      </c>
      <c r="K76" s="29"/>
      <c r="L76" s="63"/>
      <c r="N76" s="32"/>
    </row>
    <row r="77" spans="1:14" ht="12.75" customHeight="1">
      <c r="A77" s="109" t="s">
        <v>82</v>
      </c>
      <c r="B77" s="110" t="s">
        <v>105</v>
      </c>
      <c r="C77" s="108" t="s">
        <v>27</v>
      </c>
      <c r="D77" s="69">
        <v>89395</v>
      </c>
      <c r="E77" s="69" t="s">
        <v>40</v>
      </c>
      <c r="F77" s="70">
        <v>5</v>
      </c>
      <c r="G77" s="82">
        <v>13.63</v>
      </c>
      <c r="H77" s="48">
        <f t="shared" si="46"/>
        <v>16.489999999999998</v>
      </c>
      <c r="I77" s="49">
        <f t="shared" si="47"/>
        <v>82.45</v>
      </c>
      <c r="J77" s="50">
        <f>ROUND(I77/$I$81,4)</f>
        <v>4.3499999999999997E-2</v>
      </c>
      <c r="K77" s="29"/>
      <c r="L77" s="63"/>
      <c r="N77" s="32"/>
    </row>
    <row r="78" spans="1:14" ht="12.75" customHeight="1">
      <c r="A78" s="109" t="s">
        <v>107</v>
      </c>
      <c r="B78" s="110" t="s">
        <v>106</v>
      </c>
      <c r="C78" s="108" t="s">
        <v>27</v>
      </c>
      <c r="D78" s="69">
        <v>94703</v>
      </c>
      <c r="E78" s="69" t="s">
        <v>40</v>
      </c>
      <c r="F78" s="70">
        <v>10</v>
      </c>
      <c r="G78" s="82">
        <v>23.24</v>
      </c>
      <c r="H78" s="48">
        <f t="shared" si="46"/>
        <v>28.12</v>
      </c>
      <c r="I78" s="49">
        <f t="shared" si="47"/>
        <v>281.2</v>
      </c>
      <c r="J78" s="50">
        <f>ROUND(I78/$I$81,4)</f>
        <v>0.1484</v>
      </c>
      <c r="K78" s="29"/>
      <c r="L78" s="63"/>
      <c r="N78" s="32"/>
    </row>
    <row r="79" spans="1:14" ht="12.75" customHeight="1">
      <c r="A79" s="109" t="s">
        <v>108</v>
      </c>
      <c r="B79" s="76" t="s">
        <v>67</v>
      </c>
      <c r="C79" s="108" t="s">
        <v>27</v>
      </c>
      <c r="D79" s="69">
        <v>94489</v>
      </c>
      <c r="E79" s="69" t="s">
        <v>40</v>
      </c>
      <c r="F79" s="70">
        <v>1</v>
      </c>
      <c r="G79" s="82">
        <v>41.3</v>
      </c>
      <c r="H79" s="48">
        <f t="shared" si="44"/>
        <v>49.96</v>
      </c>
      <c r="I79" s="49">
        <f t="shared" ref="I79:I80" si="48">ROUND(F79*H79,2)</f>
        <v>49.96</v>
      </c>
      <c r="J79" s="50">
        <f t="shared" ref="J79:J80" si="49">ROUND(I79/$I$81,4)</f>
        <v>2.64E-2</v>
      </c>
      <c r="K79" s="29"/>
      <c r="L79" s="63"/>
      <c r="N79" s="32"/>
    </row>
    <row r="80" spans="1:14" ht="12.75" hidden="1" customHeight="1">
      <c r="A80" s="109" t="s">
        <v>109</v>
      </c>
      <c r="B80" s="76" t="s">
        <v>66</v>
      </c>
      <c r="C80" s="108" t="s">
        <v>27</v>
      </c>
      <c r="D80" s="69">
        <v>94496</v>
      </c>
      <c r="E80" s="69" t="s">
        <v>40</v>
      </c>
      <c r="F80" s="70"/>
      <c r="G80" s="82">
        <v>98.26</v>
      </c>
      <c r="H80" s="48">
        <f t="shared" si="44"/>
        <v>118.87</v>
      </c>
      <c r="I80" s="49">
        <f t="shared" si="48"/>
        <v>0</v>
      </c>
      <c r="J80" s="50">
        <f t="shared" si="49"/>
        <v>0</v>
      </c>
      <c r="K80" s="29"/>
      <c r="L80" s="63"/>
      <c r="N80" s="32"/>
    </row>
    <row r="81" spans="1:14" ht="12.75" customHeight="1" thickBot="1">
      <c r="A81" s="173" t="s">
        <v>25</v>
      </c>
      <c r="B81" s="174"/>
      <c r="C81" s="174"/>
      <c r="D81" s="174"/>
      <c r="E81" s="174"/>
      <c r="F81" s="174"/>
      <c r="G81" s="174"/>
      <c r="H81" s="40">
        <f>A74</f>
        <v>9</v>
      </c>
      <c r="I81" s="45">
        <f>ROUND(SUM(I75:I79),2)</f>
        <v>1894.61</v>
      </c>
      <c r="J81" s="42">
        <f>ROUND(I81/$I$109,4)</f>
        <v>1.32E-2</v>
      </c>
      <c r="K81" s="29"/>
      <c r="L81" s="63"/>
      <c r="N81" s="32"/>
    </row>
    <row r="82" spans="1:14" ht="12.75" customHeight="1">
      <c r="A82" s="68">
        <v>10</v>
      </c>
      <c r="B82" s="175" t="s">
        <v>42</v>
      </c>
      <c r="C82" s="176"/>
      <c r="D82" s="176"/>
      <c r="E82" s="176"/>
      <c r="F82" s="176"/>
      <c r="G82" s="176"/>
      <c r="H82" s="176"/>
      <c r="I82" s="176"/>
      <c r="J82" s="177"/>
      <c r="K82" s="29"/>
      <c r="L82" s="75"/>
      <c r="N82" s="32"/>
    </row>
    <row r="83" spans="1:14" ht="12.75" customHeight="1">
      <c r="A83" s="46" t="s">
        <v>56</v>
      </c>
      <c r="B83" s="78" t="s">
        <v>163</v>
      </c>
      <c r="C83" s="47" t="s">
        <v>27</v>
      </c>
      <c r="D83" s="69">
        <v>91993</v>
      </c>
      <c r="E83" s="69" t="s">
        <v>40</v>
      </c>
      <c r="F83" s="70">
        <v>2</v>
      </c>
      <c r="G83" s="82">
        <v>51.62</v>
      </c>
      <c r="H83" s="48">
        <f t="shared" ref="H83" si="50">ROUND(G83*(1+$G$6),2)</f>
        <v>62.45</v>
      </c>
      <c r="I83" s="49">
        <f t="shared" ref="I83" si="51">ROUND(F83*H83,2)</f>
        <v>124.9</v>
      </c>
      <c r="J83" s="50">
        <f t="shared" ref="J83" si="52">ROUND(I83/$I$96,4)</f>
        <v>2.6100000000000002E-2</v>
      </c>
      <c r="K83" s="29"/>
      <c r="L83" s="75"/>
      <c r="N83" s="32"/>
    </row>
    <row r="84" spans="1:14" ht="12.75" customHeight="1">
      <c r="A84" s="46" t="s">
        <v>71</v>
      </c>
      <c r="B84" s="78" t="s">
        <v>162</v>
      </c>
      <c r="C84" s="47" t="s">
        <v>27</v>
      </c>
      <c r="D84" s="69">
        <v>92001</v>
      </c>
      <c r="E84" s="69" t="s">
        <v>40</v>
      </c>
      <c r="F84" s="70">
        <v>4</v>
      </c>
      <c r="G84" s="82">
        <v>37.57</v>
      </c>
      <c r="H84" s="48">
        <f t="shared" ref="H84:H86" si="53">ROUND(G84*(1+$G$6),2)</f>
        <v>45.45</v>
      </c>
      <c r="I84" s="49">
        <f t="shared" ref="I84:I86" si="54">ROUND(F84*H84,2)</f>
        <v>181.8</v>
      </c>
      <c r="J84" s="50">
        <f t="shared" ref="J84:J85" si="55">ROUND(I84/$I$96,4)</f>
        <v>3.8100000000000002E-2</v>
      </c>
      <c r="K84" s="29"/>
      <c r="L84" s="75"/>
      <c r="N84" s="32"/>
    </row>
    <row r="85" spans="1:14" ht="12.75" customHeight="1">
      <c r="A85" s="46" t="s">
        <v>72</v>
      </c>
      <c r="B85" s="78" t="s">
        <v>130</v>
      </c>
      <c r="C85" s="47" t="s">
        <v>27</v>
      </c>
      <c r="D85" s="69">
        <v>91953</v>
      </c>
      <c r="E85" s="69" t="s">
        <v>40</v>
      </c>
      <c r="F85" s="70">
        <v>2</v>
      </c>
      <c r="G85" s="82">
        <v>33.08</v>
      </c>
      <c r="H85" s="48">
        <f t="shared" si="53"/>
        <v>40.020000000000003</v>
      </c>
      <c r="I85" s="49">
        <f t="shared" si="54"/>
        <v>80.040000000000006</v>
      </c>
      <c r="J85" s="50">
        <f t="shared" si="55"/>
        <v>1.6799999999999999E-2</v>
      </c>
      <c r="K85" s="29"/>
      <c r="L85" s="75"/>
      <c r="N85" s="32"/>
    </row>
    <row r="86" spans="1:14" ht="12.75" customHeight="1">
      <c r="A86" s="46" t="s">
        <v>73</v>
      </c>
      <c r="B86" s="78" t="s">
        <v>160</v>
      </c>
      <c r="C86" s="47" t="s">
        <v>27</v>
      </c>
      <c r="D86" s="69">
        <v>91959</v>
      </c>
      <c r="E86" s="69" t="s">
        <v>40</v>
      </c>
      <c r="F86" s="70">
        <v>1</v>
      </c>
      <c r="G86" s="82">
        <v>50.67</v>
      </c>
      <c r="H86" s="48">
        <f t="shared" si="53"/>
        <v>61.3</v>
      </c>
      <c r="I86" s="49">
        <f t="shared" si="54"/>
        <v>61.3</v>
      </c>
      <c r="J86" s="50">
        <f>ROUND(I86/$I$96,4)</f>
        <v>1.2800000000000001E-2</v>
      </c>
      <c r="K86" s="29"/>
      <c r="L86" s="75"/>
      <c r="N86" s="32"/>
    </row>
    <row r="87" spans="1:14" ht="12.75" customHeight="1">
      <c r="A87" s="46" t="s">
        <v>74</v>
      </c>
      <c r="B87" s="78" t="s">
        <v>131</v>
      </c>
      <c r="C87" s="47" t="s">
        <v>27</v>
      </c>
      <c r="D87" s="69">
        <v>91967</v>
      </c>
      <c r="E87" s="69" t="s">
        <v>40</v>
      </c>
      <c r="F87" s="70">
        <v>1</v>
      </c>
      <c r="G87" s="82">
        <v>68.25</v>
      </c>
      <c r="H87" s="48">
        <f t="shared" ref="H87:H92" si="56">ROUND(G87*(1+$G$6),2)</f>
        <v>82.57</v>
      </c>
      <c r="I87" s="49">
        <f t="shared" ref="I87:I91" si="57">ROUND(F87*H87,2)</f>
        <v>82.57</v>
      </c>
      <c r="J87" s="50">
        <f>ROUND(I87/$I$96,4)</f>
        <v>1.7299999999999999E-2</v>
      </c>
      <c r="K87" s="29"/>
      <c r="L87" s="75"/>
      <c r="N87" s="32"/>
    </row>
    <row r="88" spans="1:14" ht="12.75" customHeight="1">
      <c r="A88" s="46" t="s">
        <v>75</v>
      </c>
      <c r="B88" s="67" t="s">
        <v>133</v>
      </c>
      <c r="C88" s="81" t="s">
        <v>27</v>
      </c>
      <c r="D88" s="69">
        <v>91925</v>
      </c>
      <c r="E88" s="69" t="s">
        <v>61</v>
      </c>
      <c r="F88" s="70">
        <v>51</v>
      </c>
      <c r="G88" s="82">
        <v>3.51</v>
      </c>
      <c r="H88" s="48">
        <f t="shared" ref="H88" si="58">ROUND(G88*(1+$G$6),2)</f>
        <v>4.25</v>
      </c>
      <c r="I88" s="49">
        <f t="shared" ref="I88" si="59">ROUND(F88*H88,2)</f>
        <v>216.75</v>
      </c>
      <c r="J88" s="50">
        <f t="shared" ref="J88" si="60">ROUND(I88/$I$96,4)</f>
        <v>4.5400000000000003E-2</v>
      </c>
      <c r="K88" s="29"/>
      <c r="L88" s="75"/>
      <c r="N88" s="32"/>
    </row>
    <row r="89" spans="1:14" ht="12.75" customHeight="1">
      <c r="A89" s="46" t="s">
        <v>76</v>
      </c>
      <c r="B89" s="67" t="s">
        <v>132</v>
      </c>
      <c r="C89" s="81" t="s">
        <v>27</v>
      </c>
      <c r="D89" s="69">
        <v>91926</v>
      </c>
      <c r="E89" s="69" t="s">
        <v>61</v>
      </c>
      <c r="F89" s="70">
        <v>120</v>
      </c>
      <c r="G89" s="82">
        <v>4.21</v>
      </c>
      <c r="H89" s="48">
        <f t="shared" si="56"/>
        <v>5.09</v>
      </c>
      <c r="I89" s="49">
        <f t="shared" si="57"/>
        <v>610.79999999999995</v>
      </c>
      <c r="J89" s="50">
        <f>ROUND(I89/$I$96,4)</f>
        <v>0.12790000000000001</v>
      </c>
      <c r="K89" s="29"/>
      <c r="L89" s="75"/>
      <c r="N89" s="32"/>
    </row>
    <row r="90" spans="1:14" ht="12.75" hidden="1" customHeight="1">
      <c r="A90" s="46" t="s">
        <v>89</v>
      </c>
      <c r="B90" s="67" t="s">
        <v>117</v>
      </c>
      <c r="C90" s="47" t="s">
        <v>27</v>
      </c>
      <c r="D90" s="69">
        <v>101877</v>
      </c>
      <c r="E90" s="69" t="s">
        <v>40</v>
      </c>
      <c r="F90" s="70"/>
      <c r="G90" s="82"/>
      <c r="H90" s="48"/>
      <c r="I90" s="49">
        <f t="shared" si="57"/>
        <v>0</v>
      </c>
      <c r="J90" s="50">
        <f>ROUND(I90/$I$96,4)</f>
        <v>0</v>
      </c>
      <c r="K90" s="29"/>
      <c r="L90" s="75"/>
      <c r="N90" s="32"/>
    </row>
    <row r="91" spans="1:14" ht="12.75" hidden="1" customHeight="1">
      <c r="A91" s="46" t="s">
        <v>90</v>
      </c>
      <c r="B91" s="67" t="s">
        <v>134</v>
      </c>
      <c r="C91" s="47" t="s">
        <v>27</v>
      </c>
      <c r="D91" s="69">
        <v>93653</v>
      </c>
      <c r="E91" s="69" t="s">
        <v>40</v>
      </c>
      <c r="F91" s="70"/>
      <c r="G91" s="82"/>
      <c r="H91" s="48"/>
      <c r="I91" s="49">
        <f t="shared" si="57"/>
        <v>0</v>
      </c>
      <c r="J91" s="50">
        <f>ROUND(I91/$I$96,4)</f>
        <v>0</v>
      </c>
      <c r="K91" s="29"/>
      <c r="L91" s="75"/>
      <c r="N91" s="32"/>
    </row>
    <row r="92" spans="1:14" ht="12.75" customHeight="1">
      <c r="A92" s="95" t="s">
        <v>89</v>
      </c>
      <c r="B92" s="67" t="s">
        <v>135</v>
      </c>
      <c r="C92" s="47" t="s">
        <v>27</v>
      </c>
      <c r="D92" s="69">
        <v>91834</v>
      </c>
      <c r="E92" s="69" t="s">
        <v>61</v>
      </c>
      <c r="F92" s="70">
        <v>58</v>
      </c>
      <c r="G92" s="82">
        <v>19.96</v>
      </c>
      <c r="H92" s="48">
        <f t="shared" si="56"/>
        <v>24.15</v>
      </c>
      <c r="I92" s="49">
        <f t="shared" ref="I92" si="61">ROUND(F92*H92,2)</f>
        <v>1400.7</v>
      </c>
      <c r="J92" s="50">
        <f>ROUND(I92/$I$96,4)</f>
        <v>0.29320000000000002</v>
      </c>
      <c r="K92" s="29"/>
      <c r="L92" s="75"/>
      <c r="N92" s="32"/>
    </row>
    <row r="93" spans="1:14" ht="12.75" customHeight="1">
      <c r="A93" s="95" t="s">
        <v>90</v>
      </c>
      <c r="B93" s="67" t="s">
        <v>164</v>
      </c>
      <c r="C93" s="47" t="s">
        <v>27</v>
      </c>
      <c r="D93" s="69">
        <v>91871</v>
      </c>
      <c r="E93" s="69" t="s">
        <v>61</v>
      </c>
      <c r="F93" s="70">
        <v>25</v>
      </c>
      <c r="G93" s="82">
        <v>15.95</v>
      </c>
      <c r="H93" s="48">
        <f t="shared" ref="H93:H94" si="62">ROUND(G93*(1+$G$6),2)</f>
        <v>19.3</v>
      </c>
      <c r="I93" s="49">
        <f t="shared" ref="I93:I94" si="63">ROUND(F93*H93,2)</f>
        <v>482.5</v>
      </c>
      <c r="J93" s="50">
        <f t="shared" ref="J93:J94" si="64">ROUND(I93/$I$96,4)</f>
        <v>0.10100000000000001</v>
      </c>
      <c r="K93" s="29"/>
      <c r="L93" s="75"/>
      <c r="N93" s="32"/>
    </row>
    <row r="94" spans="1:14" ht="12.75" customHeight="1">
      <c r="A94" s="95" t="s">
        <v>91</v>
      </c>
      <c r="B94" s="116" t="s">
        <v>126</v>
      </c>
      <c r="C94" s="47" t="s">
        <v>27</v>
      </c>
      <c r="D94" s="69">
        <v>97586</v>
      </c>
      <c r="E94" s="69" t="s">
        <v>40</v>
      </c>
      <c r="F94" s="70">
        <v>7</v>
      </c>
      <c r="G94" s="82">
        <v>181.38</v>
      </c>
      <c r="H94" s="48">
        <f t="shared" si="62"/>
        <v>219.43</v>
      </c>
      <c r="I94" s="49">
        <f t="shared" si="63"/>
        <v>1536.01</v>
      </c>
      <c r="J94" s="50">
        <f t="shared" si="64"/>
        <v>0.32150000000000001</v>
      </c>
      <c r="K94" s="29"/>
      <c r="L94" s="75"/>
      <c r="N94" s="32"/>
    </row>
    <row r="95" spans="1:14" ht="12.75" hidden="1" customHeight="1">
      <c r="A95" s="95" t="s">
        <v>161</v>
      </c>
      <c r="B95" s="116" t="s">
        <v>138</v>
      </c>
      <c r="C95" s="47" t="s">
        <v>27</v>
      </c>
      <c r="D95" s="69">
        <v>97599</v>
      </c>
      <c r="E95" s="69" t="s">
        <v>40</v>
      </c>
      <c r="F95" s="70"/>
      <c r="G95" s="82">
        <v>24.95</v>
      </c>
      <c r="H95" s="48">
        <f t="shared" ref="H95" si="65">ROUND(G95*(1+$G$6),2)</f>
        <v>30.18</v>
      </c>
      <c r="I95" s="49">
        <f t="shared" ref="I95" si="66">ROUND(F95*H95,2)</f>
        <v>0</v>
      </c>
      <c r="J95" s="50">
        <f t="shared" ref="J95" si="67">ROUND(I95/$I$96,4)</f>
        <v>0</v>
      </c>
      <c r="K95" s="29"/>
      <c r="L95" s="75"/>
      <c r="N95" s="32"/>
    </row>
    <row r="96" spans="1:14" ht="12.75" customHeight="1" thickBot="1">
      <c r="A96" s="173" t="s">
        <v>25</v>
      </c>
      <c r="B96" s="174"/>
      <c r="C96" s="174"/>
      <c r="D96" s="174"/>
      <c r="E96" s="174"/>
      <c r="F96" s="174"/>
      <c r="G96" s="174"/>
      <c r="H96" s="40">
        <f>A82</f>
        <v>10</v>
      </c>
      <c r="I96" s="45">
        <f>ROUND(SUM(I83:I94),2)</f>
        <v>4777.37</v>
      </c>
      <c r="J96" s="42">
        <f>ROUND(I96/$I$109,4)</f>
        <v>3.32E-2</v>
      </c>
      <c r="K96" s="29"/>
      <c r="L96" s="75"/>
      <c r="N96" s="32"/>
    </row>
    <row r="97" spans="1:14" ht="12.75" customHeight="1" thickBot="1">
      <c r="A97" s="72"/>
      <c r="B97" s="74"/>
      <c r="C97" s="72"/>
      <c r="D97" s="91"/>
      <c r="E97" s="74"/>
      <c r="F97" s="74"/>
      <c r="G97" s="72"/>
      <c r="H97" s="73"/>
      <c r="I97" s="36"/>
      <c r="J97" s="44"/>
      <c r="K97" s="29"/>
      <c r="L97" s="63"/>
      <c r="N97" s="32"/>
    </row>
    <row r="98" spans="1:14" ht="12.75" customHeight="1">
      <c r="A98" s="68">
        <v>11</v>
      </c>
      <c r="B98" s="175" t="s">
        <v>37</v>
      </c>
      <c r="C98" s="176"/>
      <c r="D98" s="176"/>
      <c r="E98" s="176"/>
      <c r="F98" s="176"/>
      <c r="G98" s="176"/>
      <c r="H98" s="176"/>
      <c r="I98" s="176"/>
      <c r="J98" s="177"/>
      <c r="K98" s="29"/>
      <c r="L98" s="63"/>
      <c r="N98" s="32"/>
    </row>
    <row r="99" spans="1:14" ht="12.75" customHeight="1">
      <c r="A99" s="46" t="s">
        <v>57</v>
      </c>
      <c r="B99" s="67" t="s">
        <v>150</v>
      </c>
      <c r="C99" s="47" t="s">
        <v>27</v>
      </c>
      <c r="D99" s="69">
        <v>95469</v>
      </c>
      <c r="E99" s="69" t="s">
        <v>40</v>
      </c>
      <c r="F99" s="70">
        <v>4</v>
      </c>
      <c r="G99" s="82">
        <v>297.99</v>
      </c>
      <c r="H99" s="48">
        <f t="shared" ref="H99:H103" si="68">ROUND(G99*(1+$G$6),2)</f>
        <v>360.51</v>
      </c>
      <c r="I99" s="49">
        <f t="shared" ref="I99:I103" si="69">ROUND(F99*H99,2)</f>
        <v>1442.04</v>
      </c>
      <c r="J99" s="50">
        <f t="shared" ref="J99:J104" si="70">ROUND(I99/$I$106,4)</f>
        <v>0.46500000000000002</v>
      </c>
      <c r="K99" s="29"/>
      <c r="L99" s="63"/>
      <c r="N99" s="32"/>
    </row>
    <row r="100" spans="1:14" ht="12.75" hidden="1" customHeight="1">
      <c r="A100" s="46" t="s">
        <v>58</v>
      </c>
      <c r="B100" s="67" t="s">
        <v>68</v>
      </c>
      <c r="C100" s="47" t="s">
        <v>27</v>
      </c>
      <c r="D100" s="69">
        <v>86904</v>
      </c>
      <c r="E100" s="69" t="s">
        <v>40</v>
      </c>
      <c r="F100" s="70"/>
      <c r="G100" s="82"/>
      <c r="H100" s="48">
        <f t="shared" si="68"/>
        <v>0</v>
      </c>
      <c r="I100" s="49">
        <f t="shared" si="69"/>
        <v>0</v>
      </c>
      <c r="J100" s="50">
        <f t="shared" si="70"/>
        <v>0</v>
      </c>
      <c r="K100" s="29"/>
      <c r="L100" s="63"/>
      <c r="N100" s="32"/>
    </row>
    <row r="101" spans="1:14" ht="12.75" customHeight="1">
      <c r="A101" s="46" t="s">
        <v>58</v>
      </c>
      <c r="B101" s="67" t="s">
        <v>69</v>
      </c>
      <c r="C101" s="47" t="s">
        <v>27</v>
      </c>
      <c r="D101" s="69">
        <v>95544</v>
      </c>
      <c r="E101" s="69" t="s">
        <v>40</v>
      </c>
      <c r="F101" s="70">
        <v>5</v>
      </c>
      <c r="G101" s="82">
        <v>89</v>
      </c>
      <c r="H101" s="48">
        <f t="shared" si="68"/>
        <v>107.67</v>
      </c>
      <c r="I101" s="49">
        <f t="shared" si="69"/>
        <v>538.35</v>
      </c>
      <c r="J101" s="50">
        <f t="shared" si="70"/>
        <v>0.1736</v>
      </c>
      <c r="K101" s="29"/>
      <c r="L101" s="63"/>
      <c r="N101" s="32"/>
    </row>
    <row r="102" spans="1:14" ht="12.75" customHeight="1">
      <c r="A102" s="106" t="s">
        <v>118</v>
      </c>
      <c r="B102" s="112" t="s">
        <v>110</v>
      </c>
      <c r="C102" s="108" t="s">
        <v>27</v>
      </c>
      <c r="D102" s="69">
        <v>86913</v>
      </c>
      <c r="E102" s="69" t="s">
        <v>40</v>
      </c>
      <c r="F102" s="70">
        <v>1</v>
      </c>
      <c r="G102" s="82">
        <v>83.42</v>
      </c>
      <c r="H102" s="48">
        <f t="shared" si="68"/>
        <v>100.92</v>
      </c>
      <c r="I102" s="49">
        <f t="shared" si="69"/>
        <v>100.92</v>
      </c>
      <c r="J102" s="50">
        <f t="shared" si="70"/>
        <v>3.2500000000000001E-2</v>
      </c>
      <c r="K102" s="29"/>
      <c r="L102" s="63"/>
      <c r="N102" s="32"/>
    </row>
    <row r="103" spans="1:14" ht="12.75" customHeight="1">
      <c r="A103" s="106" t="s">
        <v>59</v>
      </c>
      <c r="B103" s="112" t="s">
        <v>151</v>
      </c>
      <c r="C103" s="108" t="s">
        <v>27</v>
      </c>
      <c r="D103" s="69">
        <v>100849</v>
      </c>
      <c r="E103" s="69" t="s">
        <v>40</v>
      </c>
      <c r="F103" s="70">
        <v>5</v>
      </c>
      <c r="G103" s="82">
        <v>43.36</v>
      </c>
      <c r="H103" s="48">
        <f t="shared" si="68"/>
        <v>52.46</v>
      </c>
      <c r="I103" s="49">
        <f t="shared" si="69"/>
        <v>262.3</v>
      </c>
      <c r="J103" s="50">
        <f t="shared" si="70"/>
        <v>8.4599999999999995E-2</v>
      </c>
      <c r="K103" s="29"/>
      <c r="L103" s="63"/>
      <c r="N103" s="32"/>
    </row>
    <row r="104" spans="1:14" ht="12.75" customHeight="1">
      <c r="A104" s="95" t="s">
        <v>136</v>
      </c>
      <c r="B104" s="110" t="s">
        <v>137</v>
      </c>
      <c r="C104" s="108" t="s">
        <v>27</v>
      </c>
      <c r="D104" s="69">
        <v>101911</v>
      </c>
      <c r="E104" s="69" t="s">
        <v>40</v>
      </c>
      <c r="F104" s="70"/>
      <c r="G104" s="82">
        <v>27.69</v>
      </c>
      <c r="H104" s="48">
        <f t="shared" ref="H104:H105" si="71">ROUND(G104*(1+$G$6),2)</f>
        <v>33.5</v>
      </c>
      <c r="I104" s="49">
        <f t="shared" ref="I104:I105" si="72">ROUND(F104*H104,2)</f>
        <v>0</v>
      </c>
      <c r="J104" s="50">
        <f t="shared" si="70"/>
        <v>0</v>
      </c>
      <c r="K104" s="29"/>
      <c r="L104" s="63"/>
      <c r="N104" s="32"/>
    </row>
    <row r="105" spans="1:14" ht="12.75" customHeight="1">
      <c r="A105" s="95" t="s">
        <v>136</v>
      </c>
      <c r="B105" s="110" t="s">
        <v>166</v>
      </c>
      <c r="C105" s="108" t="s">
        <v>27</v>
      </c>
      <c r="D105" s="69">
        <v>86942</v>
      </c>
      <c r="E105" s="69" t="s">
        <v>40</v>
      </c>
      <c r="F105" s="70">
        <v>2</v>
      </c>
      <c r="G105" s="82">
        <v>313.20999999999998</v>
      </c>
      <c r="H105" s="48">
        <f t="shared" si="71"/>
        <v>378.92</v>
      </c>
      <c r="I105" s="49">
        <f t="shared" si="72"/>
        <v>757.84</v>
      </c>
      <c r="J105" s="50">
        <f t="shared" ref="J105" si="73">ROUND(I105/$I$106,4)</f>
        <v>0.24440000000000001</v>
      </c>
      <c r="K105" s="29"/>
      <c r="L105" s="63"/>
      <c r="N105" s="32"/>
    </row>
    <row r="106" spans="1:14" ht="12.75" customHeight="1" thickBot="1">
      <c r="A106" s="173" t="s">
        <v>25</v>
      </c>
      <c r="B106" s="174"/>
      <c r="C106" s="174"/>
      <c r="D106" s="174"/>
      <c r="E106" s="174"/>
      <c r="F106" s="174"/>
      <c r="G106" s="174"/>
      <c r="H106" s="40">
        <f>A98</f>
        <v>11</v>
      </c>
      <c r="I106" s="45">
        <f>ROUND(SUM(I99:I105),2)</f>
        <v>3101.45</v>
      </c>
      <c r="J106" s="42">
        <f>ROUND(I106/$I$109,4)</f>
        <v>2.1499999999999998E-2</v>
      </c>
      <c r="K106" s="29"/>
      <c r="L106" s="63"/>
      <c r="N106" s="32"/>
    </row>
    <row r="108" spans="1:14" ht="9" customHeight="1" thickBot="1"/>
    <row r="109" spans="1:14" ht="20.25" customHeight="1" thickBot="1">
      <c r="A109" s="144" t="s">
        <v>24</v>
      </c>
      <c r="B109" s="145"/>
      <c r="C109" s="145"/>
      <c r="D109" s="145"/>
      <c r="E109" s="145"/>
      <c r="F109" s="145"/>
      <c r="G109" s="145"/>
      <c r="H109" s="145"/>
      <c r="I109" s="41">
        <f>I106+I96+I81+I72+I62+I54+I45+I37+I15</f>
        <v>144020.21</v>
      </c>
      <c r="J109" s="94">
        <f>J27+J15+J32+J37+J45+J54+J62+J72+J81+J96+J106</f>
        <v>1.131</v>
      </c>
    </row>
    <row r="110" spans="1:14">
      <c r="I110" s="93"/>
    </row>
  </sheetData>
  <mergeCells count="37">
    <mergeCell ref="H4:I4"/>
    <mergeCell ref="H5:I5"/>
    <mergeCell ref="B98:J98"/>
    <mergeCell ref="A96:G96"/>
    <mergeCell ref="B11:J11"/>
    <mergeCell ref="A15:G15"/>
    <mergeCell ref="A32:G32"/>
    <mergeCell ref="A37:G37"/>
    <mergeCell ref="A106:G106"/>
    <mergeCell ref="B17:J17"/>
    <mergeCell ref="B29:J29"/>
    <mergeCell ref="B34:J34"/>
    <mergeCell ref="B39:J39"/>
    <mergeCell ref="B47:J47"/>
    <mergeCell ref="B56:J56"/>
    <mergeCell ref="B64:J64"/>
    <mergeCell ref="B74:J74"/>
    <mergeCell ref="B82:J82"/>
    <mergeCell ref="A45:G45"/>
    <mergeCell ref="A54:G54"/>
    <mergeCell ref="A72:G72"/>
    <mergeCell ref="A81:G81"/>
    <mergeCell ref="A27:G27"/>
    <mergeCell ref="A109:H109"/>
    <mergeCell ref="A1:J1"/>
    <mergeCell ref="A2:J2"/>
    <mergeCell ref="B7:B9"/>
    <mergeCell ref="H7:H8"/>
    <mergeCell ref="G7:G8"/>
    <mergeCell ref="E6:F6"/>
    <mergeCell ref="J7:J9"/>
    <mergeCell ref="A7:A9"/>
    <mergeCell ref="F7:F8"/>
    <mergeCell ref="C7:D9"/>
    <mergeCell ref="I7:I9"/>
    <mergeCell ref="E7:E9"/>
    <mergeCell ref="A62:G62"/>
  </mergeCells>
  <phoneticPr fontId="1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5"/>
  <sheetViews>
    <sheetView view="pageBreakPreview" zoomScale="115" zoomScaleNormal="70" zoomScaleSheetLayoutView="115" workbookViewId="0">
      <selection activeCell="L18" sqref="L18"/>
    </sheetView>
  </sheetViews>
  <sheetFormatPr defaultRowHeight="12.75"/>
  <cols>
    <col min="1" max="1" width="4.85546875" style="2" customWidth="1"/>
    <col min="2" max="2" width="36.140625" style="2" bestFit="1" customWidth="1"/>
    <col min="3" max="3" width="13.7109375" style="2" bestFit="1" customWidth="1"/>
    <col min="4" max="4" width="6.28515625" style="2" bestFit="1" customWidth="1"/>
    <col min="5" max="5" width="10.140625" style="2" bestFit="1" customWidth="1"/>
    <col min="6" max="6" width="9.140625" style="2" customWidth="1"/>
    <col min="7" max="7" width="10.140625" style="2" bestFit="1" customWidth="1"/>
    <col min="8" max="8" width="9.140625" style="2" customWidth="1"/>
    <col min="9" max="9" width="21" style="3" customWidth="1"/>
    <col min="10" max="16384" width="9.140625" style="3"/>
  </cols>
  <sheetData>
    <row r="1" spans="1:10" ht="30" customHeight="1">
      <c r="A1" s="188" t="s">
        <v>17</v>
      </c>
      <c r="B1" s="188"/>
      <c r="C1" s="188"/>
      <c r="D1" s="188"/>
      <c r="E1" s="188"/>
      <c r="F1" s="188"/>
      <c r="G1" s="188"/>
      <c r="H1" s="188"/>
    </row>
    <row r="2" spans="1:10" ht="15.75">
      <c r="A2" s="191"/>
      <c r="B2" s="191"/>
      <c r="C2" s="191"/>
      <c r="D2" s="191"/>
      <c r="E2" s="191"/>
      <c r="F2" s="191"/>
      <c r="G2" s="77"/>
      <c r="H2" s="77"/>
    </row>
    <row r="3" spans="1:10" ht="14.25">
      <c r="A3" s="2" t="str">
        <f>'PO - SANITÁRIOS'!A3</f>
        <v>OBRA: REFORMA ESCOLA MUNICIPAL ENSINO FUNDAMENTAL NOSSA SRA.DAS  GRAÇAS</v>
      </c>
      <c r="B3" s="1"/>
      <c r="C3" s="1"/>
      <c r="D3" s="17"/>
      <c r="E3" s="8"/>
      <c r="F3" s="9"/>
      <c r="G3" s="9"/>
      <c r="H3" s="9"/>
    </row>
    <row r="4" spans="1:10" ht="14.25">
      <c r="A4" s="2" t="str">
        <f>'PO - SANITÁRIOS'!A4</f>
        <v>LOCALIZAÇÃO: RUA HELMO NONNEMACHER,Nº1115,  CAPELA DE SANTANA - RS</v>
      </c>
      <c r="B4" s="1"/>
      <c r="C4" s="1"/>
      <c r="D4" s="17"/>
      <c r="E4" s="8"/>
      <c r="F4" s="9"/>
      <c r="G4" s="9"/>
      <c r="H4" s="9"/>
    </row>
    <row r="5" spans="1:10">
      <c r="A5" s="2" t="str">
        <f>'PO - SANITÁRIOS'!A5</f>
        <v>ÁREA:134,30 m²</v>
      </c>
      <c r="B5" s="5"/>
      <c r="C5" s="4"/>
      <c r="D5" s="4"/>
      <c r="E5" s="4"/>
      <c r="F5" s="4"/>
      <c r="G5" s="4"/>
      <c r="H5" s="4"/>
    </row>
    <row r="6" spans="1:10">
      <c r="A6" s="2" t="str">
        <f>'PO - SANITÁRIOS'!A6</f>
        <v>SINAPI:  DATA BASE : out/2023</v>
      </c>
      <c r="C6" s="6"/>
      <c r="D6" s="7"/>
      <c r="E6" s="6"/>
      <c r="F6" s="6"/>
      <c r="G6" s="6"/>
      <c r="H6" s="6"/>
    </row>
    <row r="7" spans="1:10" ht="13.5" thickBot="1">
      <c r="C7" s="6"/>
      <c r="D7" s="7"/>
      <c r="E7" s="6"/>
      <c r="F7" s="6"/>
      <c r="G7" s="6"/>
      <c r="H7" s="6"/>
    </row>
    <row r="8" spans="1:10" ht="13.5" thickTop="1">
      <c r="A8" s="186" t="s">
        <v>1</v>
      </c>
      <c r="B8" s="184" t="s">
        <v>0</v>
      </c>
      <c r="C8" s="18" t="s">
        <v>3</v>
      </c>
      <c r="D8" s="192" t="s">
        <v>2</v>
      </c>
      <c r="E8" s="192" t="s">
        <v>5</v>
      </c>
      <c r="F8" s="192" t="s">
        <v>2</v>
      </c>
      <c r="G8" s="192" t="s">
        <v>77</v>
      </c>
      <c r="H8" s="192" t="s">
        <v>2</v>
      </c>
    </row>
    <row r="9" spans="1:10" ht="13.5" thickBot="1">
      <c r="A9" s="187"/>
      <c r="B9" s="185"/>
      <c r="C9" s="11" t="s">
        <v>4</v>
      </c>
      <c r="D9" s="193"/>
      <c r="E9" s="193"/>
      <c r="F9" s="193"/>
      <c r="G9" s="193"/>
      <c r="H9" s="193"/>
    </row>
    <row r="10" spans="1:10" ht="12.75" customHeight="1" thickTop="1">
      <c r="A10" s="10"/>
      <c r="B10" s="16"/>
      <c r="C10" s="19"/>
      <c r="D10" s="12"/>
      <c r="E10" s="20"/>
      <c r="F10" s="14"/>
      <c r="G10" s="20"/>
      <c r="H10" s="14"/>
    </row>
    <row r="11" spans="1:10">
      <c r="A11" s="21">
        <f>'PO - SANITÁRIOS'!A11</f>
        <v>1</v>
      </c>
      <c r="B11" s="22" t="str">
        <f>'PO - SANITÁRIOS'!B11</f>
        <v>SERVIÇOS PRELIMINARES</v>
      </c>
      <c r="C11" s="24">
        <f>'PO - SANITÁRIOS'!I15</f>
        <v>8965.5499999999993</v>
      </c>
      <c r="D11" s="66">
        <f>'PO - SANITÁRIOS'!J15</f>
        <v>6.2300000000000001E-2</v>
      </c>
      <c r="E11" s="25">
        <f>F11*$C11</f>
        <v>8965.5499999999993</v>
      </c>
      <c r="F11" s="52">
        <v>1</v>
      </c>
      <c r="G11" s="25">
        <f>H11*$C11</f>
        <v>0</v>
      </c>
      <c r="H11" s="52">
        <v>0</v>
      </c>
      <c r="I11" s="143">
        <f>E11+G11</f>
        <v>8965.5499999999993</v>
      </c>
      <c r="J11" s="28">
        <f>F11+H11</f>
        <v>1</v>
      </c>
    </row>
    <row r="12" spans="1:10">
      <c r="A12" s="21">
        <f>'PO - SANITÁRIOS'!A17</f>
        <v>2</v>
      </c>
      <c r="B12" s="22" t="str">
        <f>'PO - SANITÁRIOS'!B17</f>
        <v>FUNDAÇÃO</v>
      </c>
      <c r="C12" s="24"/>
      <c r="D12" s="66">
        <v>0</v>
      </c>
      <c r="E12" s="25">
        <f t="shared" ref="E12:G12" si="0">F12*$C12</f>
        <v>0</v>
      </c>
      <c r="F12" s="52">
        <v>0</v>
      </c>
      <c r="G12" s="25">
        <f t="shared" si="0"/>
        <v>0</v>
      </c>
      <c r="H12" s="52">
        <v>0</v>
      </c>
      <c r="I12" s="143">
        <f t="shared" ref="I12:I21" si="1">E12+G12</f>
        <v>0</v>
      </c>
      <c r="J12" s="28">
        <f t="shared" ref="J12:J21" si="2">F12+H12</f>
        <v>0</v>
      </c>
    </row>
    <row r="13" spans="1:10">
      <c r="A13" s="21">
        <f>'PO - SANITÁRIOS'!A29</f>
        <v>3</v>
      </c>
      <c r="B13" s="22" t="str">
        <f>'PO - SANITÁRIOS'!B29</f>
        <v>PAVIMENTAÇÃO</v>
      </c>
      <c r="C13" s="24"/>
      <c r="D13" s="66">
        <v>0</v>
      </c>
      <c r="E13" s="25">
        <f>F13*$C13</f>
        <v>0</v>
      </c>
      <c r="F13" s="52">
        <v>0</v>
      </c>
      <c r="G13" s="25">
        <f>H13*$C13</f>
        <v>0</v>
      </c>
      <c r="H13" s="52">
        <v>0</v>
      </c>
      <c r="I13" s="143">
        <f t="shared" si="1"/>
        <v>0</v>
      </c>
      <c r="J13" s="28">
        <f t="shared" si="2"/>
        <v>0</v>
      </c>
    </row>
    <row r="14" spans="1:10">
      <c r="A14" s="21">
        <f>'PO - SANITÁRIOS'!A34</f>
        <v>4</v>
      </c>
      <c r="B14" s="22" t="str">
        <f>'PO - SANITÁRIOS'!B34</f>
        <v>ALVENARIAS DE VEDAÇÃO</v>
      </c>
      <c r="C14" s="24">
        <f>'PO - SANITÁRIOS'!I37</f>
        <v>2279.8200000000002</v>
      </c>
      <c r="D14" s="66">
        <f>'PO - SANITÁRIOS'!J37</f>
        <v>1.5800000000000002E-2</v>
      </c>
      <c r="E14" s="25">
        <f t="shared" ref="E14:G14" si="3">F14*$C14</f>
        <v>2279.8200000000002</v>
      </c>
      <c r="F14" s="52">
        <v>1</v>
      </c>
      <c r="G14" s="25">
        <f t="shared" si="3"/>
        <v>0</v>
      </c>
      <c r="H14" s="52">
        <v>0</v>
      </c>
      <c r="I14" s="143">
        <f t="shared" si="1"/>
        <v>2279.8200000000002</v>
      </c>
      <c r="J14" s="28">
        <f t="shared" si="2"/>
        <v>1</v>
      </c>
    </row>
    <row r="15" spans="1:10">
      <c r="A15" s="21">
        <f>'PO - SANITÁRIOS'!A39</f>
        <v>5</v>
      </c>
      <c r="B15" s="22" t="str">
        <f>'PO - SANITÁRIOS'!B39</f>
        <v>REVESTIMENTOS DE PAREDES</v>
      </c>
      <c r="C15" s="24">
        <f>'PO - SANITÁRIOS'!I45</f>
        <v>53280.26</v>
      </c>
      <c r="D15" s="66">
        <f>'PO - SANITÁRIOS'!J45</f>
        <v>0.36990000000000001</v>
      </c>
      <c r="E15" s="25">
        <f>F15*$C15</f>
        <v>0</v>
      </c>
      <c r="F15" s="52">
        <v>0</v>
      </c>
      <c r="G15" s="25">
        <f>H15*$C15</f>
        <v>53280.26</v>
      </c>
      <c r="H15" s="52">
        <v>1</v>
      </c>
      <c r="I15" s="143">
        <f t="shared" si="1"/>
        <v>53280.26</v>
      </c>
      <c r="J15" s="28">
        <f t="shared" si="2"/>
        <v>1</v>
      </c>
    </row>
    <row r="16" spans="1:10">
      <c r="A16" s="21">
        <f>'PO - SANITÁRIOS'!A47</f>
        <v>6</v>
      </c>
      <c r="B16" s="22" t="str">
        <f>'PO - SANITÁRIOS'!B47</f>
        <v>PINTURAS</v>
      </c>
      <c r="C16" s="24">
        <f>'PO - SANITÁRIOS'!I54</f>
        <v>17478.830000000002</v>
      </c>
      <c r="D16" s="66">
        <f>'PO - SANITÁRIOS'!J54</f>
        <v>0.12139999999999999</v>
      </c>
      <c r="E16" s="25">
        <f t="shared" ref="E16:G16" si="4">F16*$C16</f>
        <v>0</v>
      </c>
      <c r="F16" s="52">
        <v>0</v>
      </c>
      <c r="G16" s="25">
        <f t="shared" si="4"/>
        <v>17478.830000000002</v>
      </c>
      <c r="H16" s="52">
        <v>1</v>
      </c>
      <c r="I16" s="143">
        <f t="shared" si="1"/>
        <v>17478.830000000002</v>
      </c>
      <c r="J16" s="28">
        <f t="shared" si="2"/>
        <v>1</v>
      </c>
    </row>
    <row r="17" spans="1:10">
      <c r="A17" s="21">
        <f>'PO - SANITÁRIOS'!A56</f>
        <v>7</v>
      </c>
      <c r="B17" s="22" t="str">
        <f>'PO - SANITÁRIOS'!B56</f>
        <v>COBERTURA</v>
      </c>
      <c r="C17" s="24">
        <f>'PO - SANITÁRIOS'!I62</f>
        <v>40696.199999999997</v>
      </c>
      <c r="D17" s="66">
        <f>'PO - SANITÁRIOS'!J62</f>
        <v>0.28260000000000002</v>
      </c>
      <c r="E17" s="25">
        <f>F17*$C17</f>
        <v>40696.199999999997</v>
      </c>
      <c r="F17" s="52">
        <v>1</v>
      </c>
      <c r="G17" s="25">
        <f>H17*$C17</f>
        <v>0</v>
      </c>
      <c r="H17" s="52">
        <v>0</v>
      </c>
      <c r="I17" s="143">
        <f t="shared" si="1"/>
        <v>40696.199999999997</v>
      </c>
      <c r="J17" s="28">
        <f t="shared" si="2"/>
        <v>1</v>
      </c>
    </row>
    <row r="18" spans="1:10">
      <c r="A18" s="21">
        <f>'PO - SANITÁRIOS'!A64</f>
        <v>8</v>
      </c>
      <c r="B18" s="22" t="str">
        <f>'PO - SANITÁRIOS'!B64</f>
        <v>ESQUADRIAS</v>
      </c>
      <c r="C18" s="24">
        <f>'PO - SANITÁRIOS'!I72</f>
        <v>11546.12</v>
      </c>
      <c r="D18" s="66">
        <f>'PO - SANITÁRIOS'!J72</f>
        <v>8.0199999999999994E-2</v>
      </c>
      <c r="E18" s="25">
        <f t="shared" ref="E18:G18" si="5">F18*$C18</f>
        <v>11546.12</v>
      </c>
      <c r="F18" s="52">
        <v>1</v>
      </c>
      <c r="G18" s="25">
        <f t="shared" si="5"/>
        <v>0</v>
      </c>
      <c r="H18" s="52">
        <v>0</v>
      </c>
      <c r="I18" s="143">
        <f t="shared" si="1"/>
        <v>11546.12</v>
      </c>
      <c r="J18" s="28">
        <f t="shared" si="2"/>
        <v>1</v>
      </c>
    </row>
    <row r="19" spans="1:10">
      <c r="A19" s="21">
        <f>'PO - SANITÁRIOS'!A74</f>
        <v>9</v>
      </c>
      <c r="B19" s="22" t="str">
        <f>'PO - SANITÁRIOS'!B74</f>
        <v>INSTALAÇÕES HIDRÁULICAS</v>
      </c>
      <c r="C19" s="24">
        <f>'PO - SANITÁRIOS'!I81</f>
        <v>1894.61</v>
      </c>
      <c r="D19" s="66">
        <f>'PO - SANITÁRIOS'!J81</f>
        <v>1.32E-2</v>
      </c>
      <c r="E19" s="25">
        <f>F19*$C19</f>
        <v>1894.61</v>
      </c>
      <c r="F19" s="52">
        <v>1</v>
      </c>
      <c r="G19" s="25">
        <f>H19*$C19</f>
        <v>0</v>
      </c>
      <c r="H19" s="52">
        <v>0</v>
      </c>
      <c r="I19" s="143">
        <f t="shared" si="1"/>
        <v>1894.61</v>
      </c>
      <c r="J19" s="28">
        <f t="shared" si="2"/>
        <v>1</v>
      </c>
    </row>
    <row r="20" spans="1:10">
      <c r="A20" s="21">
        <v>10</v>
      </c>
      <c r="B20" s="22" t="str">
        <f>'PO - SANITÁRIOS'!B82</f>
        <v>INSTALAÇÕES ELÉTRICAS</v>
      </c>
      <c r="C20" s="24">
        <f>'PO - SANITÁRIOS'!I96</f>
        <v>4777.37</v>
      </c>
      <c r="D20" s="66">
        <f>'PO - SANITÁRIOS'!J96</f>
        <v>3.32E-2</v>
      </c>
      <c r="E20" s="25">
        <f>F20*$C20</f>
        <v>2388.69</v>
      </c>
      <c r="F20" s="52">
        <v>0.5</v>
      </c>
      <c r="G20" s="25">
        <f>H20*$C20-0.01</f>
        <v>2388.6799999999998</v>
      </c>
      <c r="H20" s="52">
        <v>0.5</v>
      </c>
      <c r="I20" s="143">
        <f t="shared" si="1"/>
        <v>4777.37</v>
      </c>
      <c r="J20" s="28">
        <f t="shared" si="2"/>
        <v>1</v>
      </c>
    </row>
    <row r="21" spans="1:10">
      <c r="A21" s="21">
        <v>11</v>
      </c>
      <c r="B21" s="22" t="str">
        <f>'PO - SANITÁRIOS'!B98</f>
        <v>LOUÇAS E ACESSÓRIOS SANITÁRIOS</v>
      </c>
      <c r="C21" s="24">
        <f>'PO - SANITÁRIOS'!I106</f>
        <v>3101.45</v>
      </c>
      <c r="D21" s="66">
        <f>'PO - SANITÁRIOS'!J106</f>
        <v>2.1499999999999998E-2</v>
      </c>
      <c r="E21" s="25">
        <f t="shared" ref="E21:G21" si="6">F21*$C21</f>
        <v>0</v>
      </c>
      <c r="F21" s="52">
        <v>0</v>
      </c>
      <c r="G21" s="25">
        <f t="shared" si="6"/>
        <v>3101.45</v>
      </c>
      <c r="H21" s="52">
        <v>1</v>
      </c>
      <c r="I21" s="143">
        <f t="shared" si="1"/>
        <v>3101.45</v>
      </c>
      <c r="J21" s="28">
        <f t="shared" si="2"/>
        <v>1</v>
      </c>
    </row>
    <row r="22" spans="1:10" ht="12.75" customHeight="1" thickBot="1">
      <c r="A22" s="10"/>
      <c r="B22" s="16"/>
      <c r="C22" s="19"/>
      <c r="D22" s="12"/>
      <c r="E22" s="20"/>
      <c r="F22" s="14"/>
      <c r="G22" s="20"/>
      <c r="H22" s="14"/>
      <c r="J22" s="28"/>
    </row>
    <row r="23" spans="1:10" ht="21" customHeight="1" thickTop="1" thickBot="1">
      <c r="A23" s="189" t="s">
        <v>11</v>
      </c>
      <c r="B23" s="190"/>
      <c r="C23" s="51">
        <f>SUM(C11:C22)</f>
        <v>144020.21</v>
      </c>
      <c r="D23" s="65">
        <f>SUM(D11:D21)</f>
        <v>1</v>
      </c>
      <c r="E23" s="26">
        <f>SUM(E11:E21)</f>
        <v>67770.990000000005</v>
      </c>
      <c r="F23" s="13">
        <f>E23/$C23</f>
        <v>0.47060000000000002</v>
      </c>
      <c r="G23" s="26">
        <f>SUM(G11:G21)</f>
        <v>76249.22</v>
      </c>
      <c r="H23" s="13">
        <f>G23/$C23</f>
        <v>0.52939999999999998</v>
      </c>
      <c r="J23" s="28">
        <f>AVERAGE(J11:J21)</f>
        <v>0.82</v>
      </c>
    </row>
    <row r="24" spans="1:10" ht="21" customHeight="1" thickTop="1" thickBot="1">
      <c r="A24" s="181" t="s">
        <v>28</v>
      </c>
      <c r="B24" s="182"/>
      <c r="C24" s="182"/>
      <c r="D24" s="183"/>
      <c r="E24" s="27">
        <f>E23</f>
        <v>67770.990000000005</v>
      </c>
      <c r="F24" s="15">
        <f>E24/$C23</f>
        <v>0.47060000000000002</v>
      </c>
      <c r="G24" s="27">
        <f>G23+E24</f>
        <v>144020.21</v>
      </c>
      <c r="H24" s="15">
        <f>G24/$C23</f>
        <v>1</v>
      </c>
    </row>
    <row r="25" spans="1:10" ht="12.75" customHeight="1" thickTop="1"/>
    <row r="26" spans="1:10" ht="12.75" customHeight="1"/>
    <row r="27" spans="1:10" ht="12.75" customHeight="1"/>
    <row r="28" spans="1:10" ht="12.75" customHeight="1"/>
    <row r="29" spans="1:10" ht="12.75" customHeight="1">
      <c r="A29" s="23"/>
      <c r="B29" s="23"/>
    </row>
    <row r="30" spans="1:10" ht="12.75" customHeight="1"/>
    <row r="31" spans="1:10" ht="12.75" customHeight="1"/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11">
    <mergeCell ref="A24:D24"/>
    <mergeCell ref="B8:B9"/>
    <mergeCell ref="A8:A9"/>
    <mergeCell ref="A1:H1"/>
    <mergeCell ref="A23:B23"/>
    <mergeCell ref="A2:F2"/>
    <mergeCell ref="D8:D9"/>
    <mergeCell ref="E8:E9"/>
    <mergeCell ref="F8:F9"/>
    <mergeCell ref="G8:G9"/>
    <mergeCell ref="H8:H9"/>
  </mergeCells>
  <phoneticPr fontId="11" type="noConversion"/>
  <printOptions horizontalCentered="1" verticalCentered="1"/>
  <pageMargins left="1.1811023622047245" right="0.78740157480314965" top="2.3622047244094491" bottom="0.78740157480314965" header="0.31496062992125984" footer="0.31496062992125984"/>
  <pageSetup paperSize="9" scale="90" orientation="landscape" r:id="rId1"/>
  <headerFooter>
    <oddHeader>&amp;C&amp;"Arial,Negrito"&amp;16PREFEITURA MUNICIPAL DE CAPELA DE SANTANA&amp;"Arial,Normal"&amp;10
&amp;"Arial,Negrito"&amp;12ESTADO DO RIO GRANDE DO SUL&amp;"Arial,Normal"&amp;10
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D4:J37"/>
  <sheetViews>
    <sheetView workbookViewId="0">
      <selection activeCell="D4" sqref="D4:J37"/>
    </sheetView>
  </sheetViews>
  <sheetFormatPr defaultRowHeight="12.75"/>
  <cols>
    <col min="4" max="4" width="14.28515625" customWidth="1"/>
    <col min="5" max="5" width="20.85546875" customWidth="1"/>
    <col min="6" max="6" width="70.140625" customWidth="1"/>
    <col min="8" max="8" width="12.140625" customWidth="1"/>
    <col min="9" max="9" width="11.7109375" customWidth="1"/>
    <col min="10" max="10" width="11" customWidth="1"/>
  </cols>
  <sheetData>
    <row r="4" spans="4:10">
      <c r="D4" s="194" t="s">
        <v>168</v>
      </c>
      <c r="E4" s="195"/>
      <c r="F4" s="195"/>
      <c r="G4" s="195"/>
      <c r="H4" s="195"/>
      <c r="I4" s="195"/>
      <c r="J4" s="196"/>
    </row>
    <row r="5" spans="4:10">
      <c r="D5" s="197"/>
      <c r="E5" s="198"/>
      <c r="F5" s="198"/>
      <c r="G5" s="198"/>
      <c r="H5" s="198"/>
      <c r="I5" s="198"/>
      <c r="J5" s="199"/>
    </row>
    <row r="6" spans="4:10">
      <c r="D6" s="123" t="s">
        <v>169</v>
      </c>
      <c r="E6" s="200" t="s">
        <v>180</v>
      </c>
      <c r="F6" s="200"/>
      <c r="G6" s="200"/>
      <c r="H6" s="200"/>
      <c r="I6" s="200"/>
      <c r="J6" s="201"/>
    </row>
    <row r="7" spans="4:10">
      <c r="D7" s="124"/>
      <c r="E7" s="202"/>
      <c r="F7" s="202"/>
      <c r="G7" s="202"/>
      <c r="H7" s="202"/>
      <c r="I7" s="202"/>
      <c r="J7" s="203"/>
    </row>
    <row r="8" spans="4:10" ht="19.5">
      <c r="D8" s="204" t="s">
        <v>208</v>
      </c>
      <c r="E8" s="205"/>
      <c r="F8" s="205"/>
      <c r="G8" s="205"/>
      <c r="H8" s="205"/>
      <c r="I8" s="205"/>
      <c r="J8" s="206"/>
    </row>
    <row r="9" spans="4:10" ht="22.5">
      <c r="D9" s="125" t="s">
        <v>170</v>
      </c>
      <c r="E9" s="125" t="s">
        <v>171</v>
      </c>
      <c r="F9" s="126" t="s">
        <v>172</v>
      </c>
      <c r="G9" s="125" t="s">
        <v>173</v>
      </c>
      <c r="H9" s="127" t="s">
        <v>174</v>
      </c>
      <c r="I9" s="127" t="s">
        <v>175</v>
      </c>
      <c r="J9" s="127" t="s">
        <v>176</v>
      </c>
    </row>
    <row r="10" spans="4:10" ht="22.5">
      <c r="D10" s="128" t="s">
        <v>178</v>
      </c>
      <c r="E10" s="129">
        <v>89356</v>
      </c>
      <c r="F10" s="130" t="s">
        <v>181</v>
      </c>
      <c r="G10" s="129" t="s">
        <v>177</v>
      </c>
      <c r="H10" s="131">
        <v>0.79400000000000004</v>
      </c>
      <c r="I10" s="132">
        <v>24.68</v>
      </c>
      <c r="J10" s="133">
        <f>I10*H10</f>
        <v>19.600000000000001</v>
      </c>
    </row>
    <row r="11" spans="4:10" ht="22.5">
      <c r="D11" s="128" t="s">
        <v>178</v>
      </c>
      <c r="E11" s="129">
        <v>89362</v>
      </c>
      <c r="F11" s="130" t="s">
        <v>182</v>
      </c>
      <c r="G11" s="129" t="s">
        <v>173</v>
      </c>
      <c r="H11" s="131">
        <v>0.65429999999999999</v>
      </c>
      <c r="I11" s="132">
        <v>9.85</v>
      </c>
      <c r="J11" s="133">
        <f t="shared" ref="J11:J33" si="0">I11*H11</f>
        <v>6.44</v>
      </c>
    </row>
    <row r="12" spans="4:10" ht="22.5">
      <c r="D12" s="128" t="s">
        <v>178</v>
      </c>
      <c r="E12" s="129">
        <v>89366</v>
      </c>
      <c r="F12" s="130" t="s">
        <v>183</v>
      </c>
      <c r="G12" s="129" t="s">
        <v>173</v>
      </c>
      <c r="H12" s="131">
        <v>0.1694</v>
      </c>
      <c r="I12" s="132">
        <v>17.66</v>
      </c>
      <c r="J12" s="133">
        <f t="shared" si="0"/>
        <v>2.99</v>
      </c>
    </row>
    <row r="13" spans="4:10" ht="22.5">
      <c r="D13" s="128" t="s">
        <v>178</v>
      </c>
      <c r="E13" s="129">
        <v>89378</v>
      </c>
      <c r="F13" s="130" t="s">
        <v>184</v>
      </c>
      <c r="G13" s="129" t="s">
        <v>173</v>
      </c>
      <c r="H13" s="131">
        <v>7.7299999999999994E-2</v>
      </c>
      <c r="I13" s="132">
        <v>7.38</v>
      </c>
      <c r="J13" s="133">
        <f t="shared" si="0"/>
        <v>0.56999999999999995</v>
      </c>
    </row>
    <row r="14" spans="4:10" ht="22.5">
      <c r="D14" s="128" t="s">
        <v>178</v>
      </c>
      <c r="E14" s="129">
        <v>89383</v>
      </c>
      <c r="F14" s="130" t="s">
        <v>185</v>
      </c>
      <c r="G14" s="129" t="s">
        <v>173</v>
      </c>
      <c r="H14" s="131">
        <v>0.6522</v>
      </c>
      <c r="I14" s="132">
        <v>6.93</v>
      </c>
      <c r="J14" s="133">
        <f t="shared" si="0"/>
        <v>4.5199999999999996</v>
      </c>
    </row>
    <row r="15" spans="4:10" ht="22.5">
      <c r="D15" s="128" t="s">
        <v>178</v>
      </c>
      <c r="E15" s="129">
        <v>89395</v>
      </c>
      <c r="F15" s="130" t="s">
        <v>186</v>
      </c>
      <c r="G15" s="129" t="s">
        <v>173</v>
      </c>
      <c r="H15" s="131">
        <v>0.30370000000000003</v>
      </c>
      <c r="I15" s="132">
        <v>13.63</v>
      </c>
      <c r="J15" s="133">
        <f t="shared" si="0"/>
        <v>4.1399999999999997</v>
      </c>
    </row>
    <row r="16" spans="4:10" ht="22.5">
      <c r="D16" s="128" t="s">
        <v>178</v>
      </c>
      <c r="E16" s="129">
        <v>89396</v>
      </c>
      <c r="F16" s="130" t="s">
        <v>187</v>
      </c>
      <c r="G16" s="129" t="s">
        <v>173</v>
      </c>
      <c r="H16" s="131">
        <v>1.6799999999999999E-2</v>
      </c>
      <c r="I16" s="132">
        <v>22.14</v>
      </c>
      <c r="J16" s="133">
        <f t="shared" si="0"/>
        <v>0.37</v>
      </c>
    </row>
    <row r="17" spans="4:10" ht="22.5">
      <c r="D17" s="128" t="s">
        <v>178</v>
      </c>
      <c r="E17" s="129">
        <v>89400</v>
      </c>
      <c r="F17" s="130" t="s">
        <v>188</v>
      </c>
      <c r="G17" s="129" t="s">
        <v>173</v>
      </c>
      <c r="H17" s="131">
        <v>1.15E-2</v>
      </c>
      <c r="I17" s="132">
        <v>21.3</v>
      </c>
      <c r="J17" s="133">
        <f t="shared" si="0"/>
        <v>0.24</v>
      </c>
    </row>
    <row r="18" spans="4:10" ht="22.5">
      <c r="D18" s="128" t="s">
        <v>178</v>
      </c>
      <c r="E18" s="129">
        <v>89402</v>
      </c>
      <c r="F18" s="130" t="s">
        <v>189</v>
      </c>
      <c r="G18" s="129" t="s">
        <v>177</v>
      </c>
      <c r="H18" s="131">
        <v>7.8E-2</v>
      </c>
      <c r="I18" s="132">
        <v>13.22</v>
      </c>
      <c r="J18" s="133">
        <f t="shared" si="0"/>
        <v>1.03</v>
      </c>
    </row>
    <row r="19" spans="4:10" ht="22.5">
      <c r="D19" s="128" t="s">
        <v>178</v>
      </c>
      <c r="E19" s="129">
        <v>89408</v>
      </c>
      <c r="F19" s="130" t="s">
        <v>190</v>
      </c>
      <c r="G19" s="129" t="s">
        <v>173</v>
      </c>
      <c r="H19" s="131">
        <v>7.6E-3</v>
      </c>
      <c r="I19" s="132">
        <v>9.02</v>
      </c>
      <c r="J19" s="133">
        <f t="shared" si="0"/>
        <v>7.0000000000000007E-2</v>
      </c>
    </row>
    <row r="20" spans="4:10" ht="22.5">
      <c r="D20" s="128" t="s">
        <v>178</v>
      </c>
      <c r="E20" s="129">
        <v>89424</v>
      </c>
      <c r="F20" s="130" t="s">
        <v>191</v>
      </c>
      <c r="G20" s="129" t="s">
        <v>173</v>
      </c>
      <c r="H20" s="131">
        <v>1.35E-2</v>
      </c>
      <c r="I20" s="132">
        <v>6.81</v>
      </c>
      <c r="J20" s="133">
        <f t="shared" si="0"/>
        <v>0.09</v>
      </c>
    </row>
    <row r="21" spans="4:10" ht="22.5">
      <c r="D21" s="128" t="s">
        <v>178</v>
      </c>
      <c r="E21" s="129">
        <v>89440</v>
      </c>
      <c r="F21" s="130" t="s">
        <v>192</v>
      </c>
      <c r="G21" s="129" t="s">
        <v>173</v>
      </c>
      <c r="H21" s="131">
        <v>1.6999999999999999E-3</v>
      </c>
      <c r="I21" s="132">
        <v>12.51</v>
      </c>
      <c r="J21" s="133">
        <f t="shared" si="0"/>
        <v>0.02</v>
      </c>
    </row>
    <row r="22" spans="4:10" ht="22.5">
      <c r="D22" s="128" t="s">
        <v>178</v>
      </c>
      <c r="E22" s="129">
        <v>89445</v>
      </c>
      <c r="F22" s="130" t="s">
        <v>193</v>
      </c>
      <c r="G22" s="129" t="s">
        <v>173</v>
      </c>
      <c r="H22" s="131">
        <v>3.3999999999999998E-3</v>
      </c>
      <c r="I22" s="132">
        <v>20.100000000000001</v>
      </c>
      <c r="J22" s="133">
        <f t="shared" si="0"/>
        <v>7.0000000000000007E-2</v>
      </c>
    </row>
    <row r="23" spans="4:10" ht="22.5">
      <c r="D23" s="128" t="s">
        <v>178</v>
      </c>
      <c r="E23" s="129">
        <v>89446</v>
      </c>
      <c r="F23" s="130" t="s">
        <v>194</v>
      </c>
      <c r="G23" s="129" t="s">
        <v>177</v>
      </c>
      <c r="H23" s="131">
        <v>0.128</v>
      </c>
      <c r="I23" s="132">
        <v>6.04</v>
      </c>
      <c r="J23" s="133">
        <f t="shared" si="0"/>
        <v>0.77</v>
      </c>
    </row>
    <row r="24" spans="4:10" ht="22.5">
      <c r="D24" s="128" t="s">
        <v>178</v>
      </c>
      <c r="E24" s="129">
        <v>89481</v>
      </c>
      <c r="F24" s="130" t="s">
        <v>195</v>
      </c>
      <c r="G24" s="129" t="s">
        <v>173</v>
      </c>
      <c r="H24" s="131">
        <v>6.7000000000000004E-2</v>
      </c>
      <c r="I24" s="132">
        <v>5.64</v>
      </c>
      <c r="J24" s="133">
        <f t="shared" si="0"/>
        <v>0.38</v>
      </c>
    </row>
    <row r="25" spans="4:10" ht="22.5">
      <c r="D25" s="128" t="s">
        <v>178</v>
      </c>
      <c r="E25" s="129">
        <v>89528</v>
      </c>
      <c r="F25" s="130" t="s">
        <v>196</v>
      </c>
      <c r="G25" s="129" t="s">
        <v>173</v>
      </c>
      <c r="H25" s="131">
        <v>1.35E-2</v>
      </c>
      <c r="I25" s="132">
        <v>4.54</v>
      </c>
      <c r="J25" s="133">
        <f t="shared" si="0"/>
        <v>0.06</v>
      </c>
    </row>
    <row r="26" spans="4:10" ht="22.5">
      <c r="D26" s="128" t="s">
        <v>178</v>
      </c>
      <c r="E26" s="129">
        <v>89532</v>
      </c>
      <c r="F26" s="130" t="s">
        <v>197</v>
      </c>
      <c r="G26" s="129" t="s">
        <v>173</v>
      </c>
      <c r="H26" s="131">
        <v>4.6100000000000002E-2</v>
      </c>
      <c r="I26" s="132">
        <v>7.66</v>
      </c>
      <c r="J26" s="133">
        <f t="shared" si="0"/>
        <v>0.35</v>
      </c>
    </row>
    <row r="27" spans="4:10" ht="22.5">
      <c r="D27" s="128" t="s">
        <v>178</v>
      </c>
      <c r="E27" s="129">
        <v>89622</v>
      </c>
      <c r="F27" s="130" t="s">
        <v>198</v>
      </c>
      <c r="G27" s="129" t="s">
        <v>173</v>
      </c>
      <c r="H27" s="131">
        <v>3.85E-2</v>
      </c>
      <c r="I27" s="132">
        <v>15.2</v>
      </c>
      <c r="J27" s="133">
        <f t="shared" si="0"/>
        <v>0.59</v>
      </c>
    </row>
    <row r="28" spans="4:10" ht="22.5">
      <c r="D28" s="128" t="s">
        <v>178</v>
      </c>
      <c r="E28" s="129">
        <v>89627</v>
      </c>
      <c r="F28" s="130" t="s">
        <v>199</v>
      </c>
      <c r="G28" s="129" t="s">
        <v>173</v>
      </c>
      <c r="H28" s="131">
        <v>3.0999999999999999E-3</v>
      </c>
      <c r="I28" s="132">
        <v>21.71</v>
      </c>
      <c r="J28" s="133">
        <f t="shared" si="0"/>
        <v>7.0000000000000007E-2</v>
      </c>
    </row>
    <row r="29" spans="4:10">
      <c r="D29" s="128" t="s">
        <v>178</v>
      </c>
      <c r="E29" s="129">
        <v>90436</v>
      </c>
      <c r="F29" s="130" t="s">
        <v>200</v>
      </c>
      <c r="G29" s="129" t="s">
        <v>173</v>
      </c>
      <c r="H29" s="131">
        <v>8.3000000000000001E-3</v>
      </c>
      <c r="I29" s="132">
        <v>8.6</v>
      </c>
      <c r="J29" s="133">
        <f t="shared" si="0"/>
        <v>7.0000000000000007E-2</v>
      </c>
    </row>
    <row r="30" spans="4:10" ht="22.5">
      <c r="D30" s="128" t="s">
        <v>178</v>
      </c>
      <c r="E30" s="129">
        <v>90443</v>
      </c>
      <c r="F30" s="130" t="s">
        <v>201</v>
      </c>
      <c r="G30" s="129" t="s">
        <v>177</v>
      </c>
      <c r="H30" s="131">
        <v>0.2006</v>
      </c>
      <c r="I30" s="132">
        <v>17.93</v>
      </c>
      <c r="J30" s="133">
        <f t="shared" si="0"/>
        <v>3.6</v>
      </c>
    </row>
    <row r="31" spans="4:10">
      <c r="D31" s="128" t="s">
        <v>178</v>
      </c>
      <c r="E31" s="129">
        <v>90453</v>
      </c>
      <c r="F31" s="130" t="s">
        <v>202</v>
      </c>
      <c r="G31" s="129" t="s">
        <v>173</v>
      </c>
      <c r="H31" s="131">
        <v>7.1000000000000004E-3</v>
      </c>
      <c r="I31" s="132">
        <v>95.03</v>
      </c>
      <c r="J31" s="133">
        <f t="shared" si="0"/>
        <v>0.67</v>
      </c>
    </row>
    <row r="32" spans="4:10" ht="22.5">
      <c r="D32" s="128" t="s">
        <v>178</v>
      </c>
      <c r="E32" s="129">
        <v>90466</v>
      </c>
      <c r="F32" s="130" t="s">
        <v>203</v>
      </c>
      <c r="G32" s="129" t="s">
        <v>177</v>
      </c>
      <c r="H32" s="131">
        <v>0.2006</v>
      </c>
      <c r="I32" s="132">
        <v>15.61</v>
      </c>
      <c r="J32" s="133">
        <f t="shared" si="0"/>
        <v>3.13</v>
      </c>
    </row>
    <row r="33" spans="4:10" ht="22.5">
      <c r="D33" s="128" t="s">
        <v>178</v>
      </c>
      <c r="E33" s="129">
        <v>91185</v>
      </c>
      <c r="F33" s="130" t="s">
        <v>204</v>
      </c>
      <c r="G33" s="129" t="s">
        <v>177</v>
      </c>
      <c r="H33" s="131">
        <v>9.1999999999999998E-3</v>
      </c>
      <c r="I33" s="132">
        <v>25.35</v>
      </c>
      <c r="J33" s="133">
        <f t="shared" si="0"/>
        <v>0.23</v>
      </c>
    </row>
    <row r="34" spans="4:10">
      <c r="D34" s="128" t="s">
        <v>178</v>
      </c>
      <c r="E34" s="129">
        <v>91190</v>
      </c>
      <c r="F34" s="130" t="s">
        <v>205</v>
      </c>
      <c r="G34" s="129" t="s">
        <v>173</v>
      </c>
      <c r="H34" s="131">
        <v>8.3000000000000001E-3</v>
      </c>
      <c r="I34" s="132">
        <v>10.69</v>
      </c>
      <c r="J34" s="133">
        <v>3.75</v>
      </c>
    </row>
    <row r="35" spans="4:10" ht="15.75">
      <c r="D35" s="134"/>
      <c r="E35" s="135"/>
      <c r="F35" s="136"/>
      <c r="G35" s="210" t="s">
        <v>207</v>
      </c>
      <c r="H35" s="210"/>
      <c r="I35" s="210"/>
      <c r="J35" s="138">
        <f>J10+J11+J12+J13+J14+J15+J16+J17+J18+J19+J20+J21+J22+J23+J24+J25+J26+J27+J28+J29+J30+J31+J32+J33+J34</f>
        <v>53.82</v>
      </c>
    </row>
    <row r="36" spans="4:10" ht="14.25">
      <c r="D36" s="139" t="s">
        <v>179</v>
      </c>
      <c r="E36" s="135"/>
      <c r="F36" s="140"/>
      <c r="G36" s="135"/>
      <c r="H36" s="137"/>
      <c r="I36" s="141"/>
      <c r="J36" s="142"/>
    </row>
    <row r="37" spans="4:10">
      <c r="D37" s="207" t="s">
        <v>206</v>
      </c>
      <c r="E37" s="208"/>
      <c r="F37" s="208"/>
      <c r="G37" s="208"/>
      <c r="H37" s="208"/>
      <c r="I37" s="208"/>
      <c r="J37" s="209"/>
    </row>
  </sheetData>
  <mergeCells count="5">
    <mergeCell ref="D4:J5"/>
    <mergeCell ref="E6:J7"/>
    <mergeCell ref="D8:J8"/>
    <mergeCell ref="D37:J37"/>
    <mergeCell ref="G35:I35"/>
  </mergeCells>
  <conditionalFormatting sqref="D35:I35">
    <cfRule type="expression" dxfId="5" priority="5" stopIfTrue="1">
      <formula>AND($A35&lt;&gt;"COMPOSICAO",$A35&lt;&gt;"INSUMO",$A35&lt;&gt;"")</formula>
    </cfRule>
    <cfRule type="expression" dxfId="4" priority="6" stopIfTrue="1">
      <formula>AND(OR($A35="COMPOSICAO",$A35="INSUMO",$A35&lt;&gt;""),$A35&lt;&gt;"")</formula>
    </cfRule>
  </conditionalFormatting>
  <conditionalFormatting sqref="D10:H34">
    <cfRule type="expression" dxfId="3" priority="3" stopIfTrue="1">
      <formula>AND($A10&lt;&gt;"COMPOSICAO",$A10&lt;&gt;"INSUMO",$A10&lt;&gt;"")</formula>
    </cfRule>
    <cfRule type="expression" dxfId="2" priority="4" stopIfTrue="1">
      <formula>AND(OR($A10="COMPOSICAO",$A10="INSUMO",$A10&lt;&gt;""),$A10&lt;&gt;"")</formula>
    </cfRule>
  </conditionalFormatting>
  <conditionalFormatting sqref="D10:H34">
    <cfRule type="expression" dxfId="1" priority="1" stopIfTrue="1">
      <formula>AND($A10&lt;&gt;"COMPOSICAO",$A10&lt;&gt;"INSUMO",$A10&lt;&gt;"")</formula>
    </cfRule>
    <cfRule type="expression" dxfId="0" priority="2" stopIfTrue="1">
      <formula>AND(OR($A10="COMPOSICAO",$A10="INSUMO",$A10&lt;&gt;""),$A10&lt;&gt;"")</formula>
    </cfRule>
  </conditionalFormatting>
  <pageMargins left="0.70866141732283472" right="0.11811023622047245" top="0.39370078740157483" bottom="0.3937007874015748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PO - SANITÁRIOS</vt:lpstr>
      <vt:lpstr>TOTALIZADORA</vt:lpstr>
      <vt:lpstr>COMP</vt:lpstr>
      <vt:lpstr>COMP!Area_de_impressao</vt:lpstr>
      <vt:lpstr>'PO - SANITÁRIOS'!Area_de_impressao</vt:lpstr>
      <vt:lpstr>TOTALIZADORA!Area_de_impressao</vt:lpstr>
      <vt:lpstr>'PO - SANITÁRIOS'!Titulos_de_impressao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Alice Albernaz</dc:title>
  <dc:creator>Ber Projetos e Obras</dc:creator>
  <cp:lastModifiedBy>UBS Central 01</cp:lastModifiedBy>
  <cp:lastPrinted>2024-01-03T14:01:48Z</cp:lastPrinted>
  <dcterms:created xsi:type="dcterms:W3CDTF">2002-04-18T18:04:56Z</dcterms:created>
  <dcterms:modified xsi:type="dcterms:W3CDTF">2024-01-03T14:24:26Z</dcterms:modified>
</cp:coreProperties>
</file>